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Objects="none" defaultThemeVersion="202300"/>
  <mc:AlternateContent xmlns:mc="http://schemas.openxmlformats.org/markup-compatibility/2006">
    <mc:Choice Requires="x15">
      <x15ac:absPath xmlns:x15ac="http://schemas.microsoft.com/office/spreadsheetml/2010/11/ac" url="C:\Users\Utilisateur\Downloads\"/>
    </mc:Choice>
  </mc:AlternateContent>
  <xr:revisionPtr revIDLastSave="0" documentId="8_{8A306591-717C-4282-9087-A9275DCFAD67}" xr6:coauthVersionLast="47" xr6:coauthVersionMax="47" xr10:uidLastSave="{00000000-0000-0000-0000-000000000000}"/>
  <bookViews>
    <workbookView xWindow="-108" yWindow="-108" windowWidth="23256" windowHeight="12456" firstSheet="1" activeTab="5" xr2:uid="{0D54D873-346B-45AE-91D3-AD75C47DC3B7}"/>
  </bookViews>
  <sheets>
    <sheet name="Plan Comptable" sheetId="1" r:id="rId1"/>
    <sheet name="Journal Ventes" sheetId="2" r:id="rId2"/>
    <sheet name="Journal Achats" sheetId="5" r:id="rId3"/>
    <sheet name="Factures Clients" sheetId="3" r:id="rId4"/>
    <sheet name="Factures Fournisseurs" sheetId="6" r:id="rId5"/>
    <sheet name="Analyse TVA" sheetId="4" r:id="rId6"/>
  </sheets>
  <definedNames>
    <definedName name="_xlnm._FilterDatabase" localSheetId="3" hidden="1">'Factures Clients'!$B$4:$H$10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 l="1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8" i="2"/>
  <c r="D18" i="4"/>
  <c r="D16" i="4"/>
  <c r="D11" i="4"/>
  <c r="F17" i="3"/>
  <c r="F18" i="3"/>
  <c r="F16" i="3"/>
  <c r="H6" i="3"/>
  <c r="I6" i="3" s="1"/>
  <c r="H7" i="3"/>
  <c r="I7" i="3" s="1"/>
  <c r="H8" i="3"/>
  <c r="I8" i="3" s="1"/>
  <c r="H9" i="3"/>
  <c r="I9" i="3" s="1"/>
  <c r="H10" i="3"/>
  <c r="I10" i="3" s="1"/>
  <c r="H5" i="3"/>
  <c r="I5" i="3" s="1"/>
  <c r="E6" i="2"/>
  <c r="E7" i="2"/>
  <c r="E5" i="2"/>
  <c r="E19" i="5"/>
  <c r="E18" i="5"/>
  <c r="E17" i="5"/>
  <c r="E15" i="5"/>
  <c r="E14" i="5"/>
  <c r="E13" i="5"/>
  <c r="E11" i="5"/>
  <c r="E10" i="5"/>
  <c r="E9" i="5"/>
  <c r="E6" i="5"/>
  <c r="E7" i="5"/>
  <c r="E5" i="5"/>
  <c r="B18" i="3"/>
  <c r="C18" i="3" s="1"/>
  <c r="B17" i="3"/>
  <c r="C17" i="3" s="1"/>
  <c r="B16" i="3"/>
  <c r="C16" i="3" s="1"/>
</calcChain>
</file>

<file path=xl/sharedStrings.xml><?xml version="1.0" encoding="utf-8"?>
<sst xmlns="http://schemas.openxmlformats.org/spreadsheetml/2006/main" count="142" uniqueCount="57">
  <si>
    <t>Compte</t>
  </si>
  <si>
    <t>Libellé</t>
  </si>
  <si>
    <t>Fournisseurs</t>
  </si>
  <si>
    <t>Clients</t>
  </si>
  <si>
    <t>Banque</t>
  </si>
  <si>
    <t>Achats</t>
  </si>
  <si>
    <t>Ventes</t>
  </si>
  <si>
    <t>TVA collectée</t>
  </si>
  <si>
    <t>TVA déductible</t>
  </si>
  <si>
    <t>Date</t>
  </si>
  <si>
    <t>Crédit</t>
  </si>
  <si>
    <t>Facture</t>
  </si>
  <si>
    <t>Client</t>
  </si>
  <si>
    <t>Montant HT</t>
  </si>
  <si>
    <t>Taux TVA</t>
  </si>
  <si>
    <t>Échéance</t>
  </si>
  <si>
    <t>Payé ?</t>
  </si>
  <si>
    <t>F001</t>
  </si>
  <si>
    <t>Dupont SA</t>
  </si>
  <si>
    <t>Oui</t>
  </si>
  <si>
    <t>F002</t>
  </si>
  <si>
    <t>Martin SARL</t>
  </si>
  <si>
    <t>Non</t>
  </si>
  <si>
    <t>F003</t>
  </si>
  <si>
    <t>F004</t>
  </si>
  <si>
    <t>Leblanc SAS</t>
  </si>
  <si>
    <t>F005</t>
  </si>
  <si>
    <t>F006</t>
  </si>
  <si>
    <t>Plan Comptable</t>
  </si>
  <si>
    <t>Fournisseurs d’immobilisations</t>
  </si>
  <si>
    <t>Achats non stockés</t>
  </si>
  <si>
    <t>Achats de marchandises</t>
  </si>
  <si>
    <t>Ventes de marchandises</t>
  </si>
  <si>
    <t>Factures Clients</t>
  </si>
  <si>
    <t>Analyse TVA</t>
  </si>
  <si>
    <t>A001</t>
  </si>
  <si>
    <t>Papeterie Durand</t>
  </si>
  <si>
    <t>A002</t>
  </si>
  <si>
    <t>Fournitures Martin</t>
  </si>
  <si>
    <t>A003</t>
  </si>
  <si>
    <t>IT Services</t>
  </si>
  <si>
    <t>A004</t>
  </si>
  <si>
    <t>CleanPro</t>
  </si>
  <si>
    <t>Factures Fournisseurs</t>
  </si>
  <si>
    <t xml:space="preserve">    Pièce</t>
  </si>
  <si>
    <t xml:space="preserve">    Débit</t>
  </si>
  <si>
    <t>Source</t>
  </si>
  <si>
    <t>Vente</t>
  </si>
  <si>
    <t>Achat</t>
  </si>
  <si>
    <t>F007</t>
  </si>
  <si>
    <t>Statut</t>
  </si>
  <si>
    <t>TVA Collectée</t>
  </si>
  <si>
    <t>TVA Déductible</t>
  </si>
  <si>
    <t>TVA Nette à payer</t>
  </si>
  <si>
    <t>Ventes Par Client</t>
  </si>
  <si>
    <t>Retard (j)</t>
  </si>
  <si>
    <t>Ventes par client non payées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</si>
</sst>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5"/>
      <color rgb="FFFFFFFF"/>
      <name val="Calibri"/>
      <family val="2"/>
    </font>
    <font>
      <b/>
      <sz val="11"/>
      <color rgb="FF00518B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162E4A"/>
        <bgColor rgb="FF102136"/>
      </patternFill>
    </fill>
    <fill>
      <patternFill patternType="solid">
        <fgColor rgb="FF00518B"/>
        <bgColor theme="4"/>
      </patternFill>
    </fill>
    <fill>
      <patternFill patternType="solid">
        <fgColor rgb="FFDEEAF6"/>
        <bgColor rgb="FFDEEAF6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14" fontId="0" fillId="0" borderId="0" xfId="0" applyNumberFormat="1"/>
    <xf numFmtId="0" fontId="1" fillId="3" borderId="4" xfId="0" applyFont="1" applyFill="1" applyBorder="1" applyAlignment="1">
      <alignment horizontal="center" vertical="top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14" fontId="0" fillId="0" borderId="9" xfId="0" applyNumberFormat="1" applyBorder="1"/>
    <xf numFmtId="3" fontId="0" fillId="0" borderId="9" xfId="0" applyNumberFormat="1" applyBorder="1"/>
    <xf numFmtId="14" fontId="0" fillId="0" borderId="10" xfId="0" applyNumberFormat="1" applyBorder="1"/>
    <xf numFmtId="3" fontId="0" fillId="0" borderId="0" xfId="0" applyNumberFormat="1"/>
    <xf numFmtId="9" fontId="0" fillId="0" borderId="0" xfId="0" applyNumberFormat="1"/>
    <xf numFmtId="9" fontId="0" fillId="0" borderId="9" xfId="0" applyNumberFormat="1" applyBorder="1"/>
    <xf numFmtId="3" fontId="0" fillId="0" borderId="10" xfId="0" applyNumberFormat="1" applyBorder="1"/>
    <xf numFmtId="9" fontId="0" fillId="0" borderId="10" xfId="0" applyNumberFormat="1" applyBorder="1"/>
    <xf numFmtId="0" fontId="1" fillId="3" borderId="3" xfId="0" applyFont="1" applyFill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13" xfId="0" applyBorder="1"/>
    <xf numFmtId="0" fontId="0" fillId="0" borderId="12" xfId="0" applyBorder="1"/>
    <xf numFmtId="0" fontId="1" fillId="3" borderId="13" xfId="0" applyFont="1" applyFill="1" applyBorder="1" applyAlignment="1">
      <alignment horizontal="center" vertical="top"/>
    </xf>
    <xf numFmtId="3" fontId="0" fillId="0" borderId="5" xfId="0" applyNumberFormat="1" applyBorder="1"/>
    <xf numFmtId="0" fontId="2" fillId="0" borderId="4" xfId="0" applyFont="1" applyBorder="1"/>
    <xf numFmtId="0" fontId="2" fillId="0" borderId="13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0" fillId="0" borderId="0" xfId="0" applyBorder="1"/>
    <xf numFmtId="3" fontId="0" fillId="0" borderId="0" xfId="0" applyNumberFormat="1" applyBorder="1"/>
    <xf numFmtId="9" fontId="0" fillId="0" borderId="0" xfId="0" applyNumberFormat="1" applyBorder="1"/>
    <xf numFmtId="14" fontId="0" fillId="0" borderId="0" xfId="0" applyNumberFormat="1" applyBorder="1"/>
    <xf numFmtId="0" fontId="0" fillId="0" borderId="4" xfId="0" applyBorder="1"/>
    <xf numFmtId="0" fontId="1" fillId="3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0" fontId="0" fillId="0" borderId="14" xfId="0" applyBorder="1"/>
    <xf numFmtId="3" fontId="0" fillId="0" borderId="14" xfId="0" applyNumberFormat="1" applyBorder="1"/>
    <xf numFmtId="0" fontId="0" fillId="0" borderId="1" xfId="0" applyBorder="1"/>
    <xf numFmtId="3" fontId="0" fillId="0" borderId="11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2" fillId="0" borderId="12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</cellXfs>
  <cellStyles count="1">
    <cellStyle name="Normal" xfId="0" builtinId="0"/>
  </cellStyles>
  <dxfs count="19"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numFmt numFmtId="13" formatCode="0%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rgb="FF00518B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56CFE2A-342C-42CC-8689-3A78D06A99FD}" name="FacturesClients" displayName="FacturesClients" ref="B4:I10" headerRowDxfId="16" headerRowBorderDxfId="17" tableBorderDxfId="18">
  <autoFilter ref="B4:I10" xr:uid="{D56CFE2A-342C-42CC-8689-3A78D06A99F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E32BA5A2-AA79-4C92-84FB-E9A016C9A5C3}" name="Facture" totalsRowLabel="Total" dataDxfId="15" totalsRowDxfId="0"/>
    <tableColumn id="2" xr3:uid="{C814FF5A-2CB2-4BB6-BADF-501AB1945E06}" name="Client" dataDxfId="14" totalsRowDxfId="1"/>
    <tableColumn id="3" xr3:uid="{E154222B-9004-4330-B971-AA16BCD1F987}" name="Montant HT" totalsRowFunction="sum" dataDxfId="13" totalsRowDxfId="2"/>
    <tableColumn id="4" xr3:uid="{B126BD8F-CA3E-4906-A817-34E3102E4DC8}" name="Taux TVA" dataDxfId="12" totalsRowDxfId="3"/>
    <tableColumn id="5" xr3:uid="{AA745A5F-F1EA-42A1-8F4F-DE4251254383}" name="Échéance" dataDxfId="11" totalsRowDxfId="4"/>
    <tableColumn id="6" xr3:uid="{361DC4AA-8BD8-4186-B44B-05465B56191D}" name="Payé ?" dataDxfId="10" totalsRowDxfId="5"/>
    <tableColumn id="7" xr3:uid="{6550D6BF-8625-4E08-B32B-BE1C4A63ACE4}" name="Statut" dataDxfId="9" totalsRowDxfId="6">
      <calculatedColumnFormula>IF(G5="Oui","OK",IF(TODAY()&gt;F5,"En Retard","OK"))</calculatedColumnFormula>
    </tableColumn>
    <tableColumn id="8" xr3:uid="{6E8A7FDD-5563-4245-B6A0-341DB671B5EE}" name="Retard (j)" totalsRowFunction="sum" dataDxfId="8" totalsRowDxfId="7">
      <calculatedColumnFormula>IF(H5="OK",0,TODAY()-F5)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56765-1359-4FE8-904A-40AB3B59BE00}">
  <dimension ref="B2:G13"/>
  <sheetViews>
    <sheetView showGridLines="0" zoomScale="130" zoomScaleNormal="130" workbookViewId="0">
      <selection activeCell="B13" sqref="B13"/>
    </sheetView>
  </sheetViews>
  <sheetFormatPr baseColWidth="10" defaultRowHeight="14.4" x14ac:dyDescent="0.3"/>
  <cols>
    <col min="2" max="2" width="13.6640625" bestFit="1" customWidth="1"/>
    <col min="3" max="3" width="26.109375" bestFit="1" customWidth="1"/>
  </cols>
  <sheetData>
    <row r="2" spans="2:7" ht="19.8" customHeight="1" x14ac:dyDescent="0.3">
      <c r="B2" s="26" t="s">
        <v>28</v>
      </c>
      <c r="C2" s="27"/>
    </row>
    <row r="3" spans="2:7" ht="6" customHeight="1" x14ac:dyDescent="0.3">
      <c r="B3" s="20"/>
      <c r="C3" s="21"/>
      <c r="G3" s="4"/>
    </row>
    <row r="4" spans="2:7" x14ac:dyDescent="0.3">
      <c r="B4" s="2" t="s">
        <v>0</v>
      </c>
      <c r="C4" s="2" t="s">
        <v>1</v>
      </c>
    </row>
    <row r="5" spans="2:7" x14ac:dyDescent="0.3">
      <c r="B5" s="7">
        <v>401</v>
      </c>
      <c r="C5" s="7" t="s">
        <v>2</v>
      </c>
    </row>
    <row r="6" spans="2:7" x14ac:dyDescent="0.3">
      <c r="B6" s="7">
        <v>404</v>
      </c>
      <c r="C6" s="7" t="s">
        <v>29</v>
      </c>
    </row>
    <row r="7" spans="2:7" x14ac:dyDescent="0.3">
      <c r="B7" s="7">
        <v>411</v>
      </c>
      <c r="C7" s="7" t="s">
        <v>3</v>
      </c>
    </row>
    <row r="8" spans="2:7" x14ac:dyDescent="0.3">
      <c r="B8" s="7">
        <v>4456</v>
      </c>
      <c r="C8" s="7" t="s">
        <v>8</v>
      </c>
    </row>
    <row r="9" spans="2:7" x14ac:dyDescent="0.3">
      <c r="B9" s="7">
        <v>4457</v>
      </c>
      <c r="C9" s="7" t="s">
        <v>7</v>
      </c>
    </row>
    <row r="10" spans="2:7" x14ac:dyDescent="0.3">
      <c r="B10" s="7">
        <v>512</v>
      </c>
      <c r="C10" s="7" t="s">
        <v>4</v>
      </c>
    </row>
    <row r="11" spans="2:7" x14ac:dyDescent="0.3">
      <c r="B11" s="7">
        <v>606</v>
      </c>
      <c r="C11" s="7" t="s">
        <v>30</v>
      </c>
    </row>
    <row r="12" spans="2:7" x14ac:dyDescent="0.3">
      <c r="B12" s="7">
        <v>607</v>
      </c>
      <c r="C12" s="7" t="s">
        <v>31</v>
      </c>
    </row>
    <row r="13" spans="2:7" x14ac:dyDescent="0.3">
      <c r="B13" s="8">
        <v>707</v>
      </c>
      <c r="C13" s="8" t="s">
        <v>32</v>
      </c>
    </row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5F402-600E-4689-B7B0-6BE6744238C7}">
  <dimension ref="B2:G30"/>
  <sheetViews>
    <sheetView showGridLines="0" zoomScale="85" zoomScaleNormal="85" workbookViewId="0">
      <selection activeCell="E32" sqref="E32"/>
    </sheetView>
  </sheetViews>
  <sheetFormatPr baseColWidth="10" defaultRowHeight="14.4" x14ac:dyDescent="0.3"/>
  <cols>
    <col min="5" max="5" width="21.77734375" bestFit="1" customWidth="1"/>
  </cols>
  <sheetData>
    <row r="2" spans="2:7" ht="19.8" x14ac:dyDescent="0.3">
      <c r="B2" s="28" t="s">
        <v>6</v>
      </c>
      <c r="C2" s="29"/>
      <c r="D2" s="29"/>
      <c r="E2" s="29"/>
      <c r="F2" s="29"/>
      <c r="G2" s="29"/>
    </row>
    <row r="3" spans="2:7" ht="6" customHeight="1" x14ac:dyDescent="0.3">
      <c r="B3" s="3"/>
      <c r="G3" s="4"/>
    </row>
    <row r="4" spans="2:7" x14ac:dyDescent="0.3">
      <c r="B4" s="2" t="s">
        <v>9</v>
      </c>
      <c r="C4" s="2" t="s">
        <v>44</v>
      </c>
      <c r="D4" s="2" t="s">
        <v>0</v>
      </c>
      <c r="E4" s="2" t="s">
        <v>1</v>
      </c>
      <c r="F4" s="2" t="s">
        <v>45</v>
      </c>
      <c r="G4" s="2" t="s">
        <v>10</v>
      </c>
    </row>
    <row r="5" spans="2:7" x14ac:dyDescent="0.3">
      <c r="B5" s="9">
        <v>45901</v>
      </c>
      <c r="C5" s="7" t="s">
        <v>17</v>
      </c>
      <c r="D5" s="7">
        <v>411</v>
      </c>
      <c r="E5" s="7" t="str">
        <f>IFERROR(_xlfn.XLOOKUP(D5,'Plan Comptable'!$B$5:$B$13,'Plan Comptable'!$C$5:$C$13),"Compte Introuvable")</f>
        <v>Clients</v>
      </c>
      <c r="F5" s="10">
        <v>2400</v>
      </c>
      <c r="G5" s="7"/>
    </row>
    <row r="6" spans="2:7" x14ac:dyDescent="0.3">
      <c r="B6" s="9">
        <v>45901</v>
      </c>
      <c r="C6" s="7" t="s">
        <v>17</v>
      </c>
      <c r="D6" s="7">
        <v>707</v>
      </c>
      <c r="E6" s="7" t="str">
        <f>IFERROR(_xlfn.XLOOKUP(D6,'Plan Comptable'!$B$5:$B$13,'Plan Comptable'!$C$5:$C$13),"Compte Introuvable")</f>
        <v>Ventes de marchandises</v>
      </c>
      <c r="F6" s="7"/>
      <c r="G6" s="10">
        <v>2000</v>
      </c>
    </row>
    <row r="7" spans="2:7" x14ac:dyDescent="0.3">
      <c r="B7" s="9">
        <v>45901</v>
      </c>
      <c r="C7" s="7" t="s">
        <v>17</v>
      </c>
      <c r="D7" s="7">
        <v>4457</v>
      </c>
      <c r="E7" s="7" t="str">
        <f>IFERROR(_xlfn.XLOOKUP(D7,'Plan Comptable'!$B$5:$B$13,'Plan Comptable'!$C$5:$C$13),"Compte Introuvable")</f>
        <v>TVA collectée</v>
      </c>
      <c r="F7" s="7"/>
      <c r="G7" s="7">
        <v>400</v>
      </c>
    </row>
    <row r="8" spans="2:7" x14ac:dyDescent="0.3">
      <c r="B8" s="9"/>
      <c r="C8" s="7"/>
      <c r="D8" s="7"/>
      <c r="E8" s="7" t="str">
        <f>IF(D8="","",IFERROR(_xlfn.XLOOKUP(D8,'Plan Comptable'!$B$5:$B$13,'Plan Comptable'!$C$5:$C$13),"Compte Introuvable"))</f>
        <v/>
      </c>
      <c r="F8" s="10"/>
      <c r="G8" s="7"/>
    </row>
    <row r="9" spans="2:7" x14ac:dyDescent="0.3">
      <c r="B9" s="9">
        <v>45905</v>
      </c>
      <c r="C9" s="7" t="s">
        <v>20</v>
      </c>
      <c r="D9" s="7">
        <v>411</v>
      </c>
      <c r="E9" s="7" t="str">
        <f>IF(D9="","",IFERROR(_xlfn.XLOOKUP(D9,'Plan Comptable'!$B$5:$B$13,'Plan Comptable'!$C$5:$C$13),"Compte Introuvable"))</f>
        <v>Clients</v>
      </c>
      <c r="F9" s="10">
        <v>1100</v>
      </c>
      <c r="G9" s="10"/>
    </row>
    <row r="10" spans="2:7" x14ac:dyDescent="0.3">
      <c r="B10" s="9">
        <v>45905</v>
      </c>
      <c r="C10" s="7" t="s">
        <v>20</v>
      </c>
      <c r="D10" s="7">
        <v>707</v>
      </c>
      <c r="E10" s="7" t="str">
        <f>IF(D10="","",IFERROR(_xlfn.XLOOKUP(D10,'Plan Comptable'!$B$5:$B$13,'Plan Comptable'!$C$5:$C$13),"Compte Introuvable"))</f>
        <v>Ventes de marchandises</v>
      </c>
      <c r="F10" s="7"/>
      <c r="G10" s="10">
        <v>1000</v>
      </c>
    </row>
    <row r="11" spans="2:7" x14ac:dyDescent="0.3">
      <c r="B11" s="9">
        <v>45905</v>
      </c>
      <c r="C11" s="7" t="s">
        <v>20</v>
      </c>
      <c r="D11" s="7">
        <v>4457</v>
      </c>
      <c r="E11" s="7" t="str">
        <f>IF(D11="","",IFERROR(_xlfn.XLOOKUP(D11,'Plan Comptable'!$B$5:$B$13,'Plan Comptable'!$C$5:$C$13),"Compte Introuvable"))</f>
        <v>TVA collectée</v>
      </c>
      <c r="F11" s="7"/>
      <c r="G11" s="7">
        <v>100</v>
      </c>
    </row>
    <row r="12" spans="2:7" x14ac:dyDescent="0.3">
      <c r="B12" s="7"/>
      <c r="C12" s="7"/>
      <c r="D12" s="7"/>
      <c r="E12" s="7" t="str">
        <f>IF(D12="","",IFERROR(_xlfn.XLOOKUP(D12,'Plan Comptable'!$B$5:$B$13,'Plan Comptable'!$C$5:$C$13),"Compte Introuvable"))</f>
        <v/>
      </c>
      <c r="F12" s="7"/>
      <c r="G12" s="7"/>
    </row>
    <row r="13" spans="2:7" x14ac:dyDescent="0.3">
      <c r="B13" s="9">
        <v>45940</v>
      </c>
      <c r="C13" s="7" t="s">
        <v>23</v>
      </c>
      <c r="D13" s="7">
        <v>411</v>
      </c>
      <c r="E13" s="7" t="str">
        <f>IF(D13="","",IFERROR(_xlfn.XLOOKUP(D13,'Plan Comptable'!$B$5:$B$13,'Plan Comptable'!$C$5:$C$13),"Compte Introuvable"))</f>
        <v>Clients</v>
      </c>
      <c r="F13" s="7">
        <v>960</v>
      </c>
      <c r="G13" s="7"/>
    </row>
    <row r="14" spans="2:7" x14ac:dyDescent="0.3">
      <c r="B14" s="9">
        <v>45940</v>
      </c>
      <c r="C14" s="7" t="s">
        <v>23</v>
      </c>
      <c r="D14" s="7">
        <v>707</v>
      </c>
      <c r="E14" s="7" t="str">
        <f>IF(D14="","",IFERROR(_xlfn.XLOOKUP(D14,'Plan Comptable'!$B$5:$B$13,'Plan Comptable'!$C$5:$C$13),"Compte Introuvable"))</f>
        <v>Ventes de marchandises</v>
      </c>
      <c r="F14" s="7"/>
      <c r="G14" s="7">
        <v>800</v>
      </c>
    </row>
    <row r="15" spans="2:7" x14ac:dyDescent="0.3">
      <c r="B15" s="9">
        <v>45940</v>
      </c>
      <c r="C15" s="7" t="s">
        <v>23</v>
      </c>
      <c r="D15" s="7">
        <v>4457</v>
      </c>
      <c r="E15" s="7" t="str">
        <f>IF(D15="","",IFERROR(_xlfn.XLOOKUP(D15,'Plan Comptable'!$B$5:$B$13,'Plan Comptable'!$C$5:$C$13),"Compte Introuvable"))</f>
        <v>TVA collectée</v>
      </c>
      <c r="F15" s="7"/>
      <c r="G15" s="7">
        <v>160</v>
      </c>
    </row>
    <row r="16" spans="2:7" x14ac:dyDescent="0.3">
      <c r="B16" s="7"/>
      <c r="C16" s="7"/>
      <c r="D16" s="7"/>
      <c r="E16" s="7" t="str">
        <f>IF(D16="","",IFERROR(_xlfn.XLOOKUP(D16,'Plan Comptable'!$B$5:$B$13,'Plan Comptable'!$C$5:$C$13),"Compte Introuvable"))</f>
        <v/>
      </c>
      <c r="F16" s="7"/>
      <c r="G16" s="7"/>
    </row>
    <row r="17" spans="2:7" x14ac:dyDescent="0.3">
      <c r="B17" s="9">
        <v>45905</v>
      </c>
      <c r="C17" s="7" t="s">
        <v>24</v>
      </c>
      <c r="D17" s="7">
        <v>411</v>
      </c>
      <c r="E17" s="7" t="str">
        <f>IF(D17="","",IFERROR(_xlfn.XLOOKUP(D17,'Plan Comptable'!$B$5:$B$13,'Plan Comptable'!$C$5:$C$13),"Compte Introuvable"))</f>
        <v>Clients</v>
      </c>
      <c r="F17" s="10">
        <v>3000</v>
      </c>
      <c r="G17" s="7"/>
    </row>
    <row r="18" spans="2:7" x14ac:dyDescent="0.3">
      <c r="B18" s="9">
        <v>45905</v>
      </c>
      <c r="C18" s="7" t="s">
        <v>24</v>
      </c>
      <c r="D18" s="7">
        <v>707</v>
      </c>
      <c r="E18" s="7" t="str">
        <f>IF(D18="","",IFERROR(_xlfn.XLOOKUP(D18,'Plan Comptable'!$B$5:$B$13,'Plan Comptable'!$C$5:$C$13),"Compte Introuvable"))</f>
        <v>Ventes de marchandises</v>
      </c>
      <c r="F18" s="7"/>
      <c r="G18" s="10">
        <v>2500</v>
      </c>
    </row>
    <row r="19" spans="2:7" x14ac:dyDescent="0.3">
      <c r="B19" s="9">
        <v>45905</v>
      </c>
      <c r="C19" s="7" t="s">
        <v>24</v>
      </c>
      <c r="D19" s="7">
        <v>4457</v>
      </c>
      <c r="E19" s="7" t="str">
        <f>IF(D19="","",IFERROR(_xlfn.XLOOKUP(D19,'Plan Comptable'!$B$5:$B$13,'Plan Comptable'!$C$5:$C$13),"Compte Introuvable"))</f>
        <v>TVA collectée</v>
      </c>
      <c r="F19" s="7"/>
      <c r="G19" s="7">
        <v>500</v>
      </c>
    </row>
    <row r="20" spans="2:7" x14ac:dyDescent="0.3">
      <c r="B20" s="7"/>
      <c r="C20" s="7"/>
      <c r="D20" s="7"/>
      <c r="E20" s="7" t="str">
        <f>IF(D20="","",IFERROR(_xlfn.XLOOKUP(D20,'Plan Comptable'!$B$5:$B$13,'Plan Comptable'!$C$5:$C$13),"Compte Introuvable"))</f>
        <v/>
      </c>
      <c r="F20" s="7"/>
      <c r="G20" s="7"/>
    </row>
    <row r="21" spans="2:7" x14ac:dyDescent="0.3">
      <c r="B21" s="9">
        <v>45955</v>
      </c>
      <c r="C21" s="7" t="s">
        <v>26</v>
      </c>
      <c r="D21" s="7">
        <v>411</v>
      </c>
      <c r="E21" s="7" t="str">
        <f>IF(D21="","",IFERROR(_xlfn.XLOOKUP(D21,'Plan Comptable'!$B$5:$B$13,'Plan Comptable'!$C$5:$C$13),"Compte Introuvable"))</f>
        <v>Clients</v>
      </c>
      <c r="F21" s="7">
        <v>660</v>
      </c>
      <c r="G21" s="7"/>
    </row>
    <row r="22" spans="2:7" x14ac:dyDescent="0.3">
      <c r="B22" s="9">
        <v>45955</v>
      </c>
      <c r="C22" s="7" t="s">
        <v>26</v>
      </c>
      <c r="D22" s="7">
        <v>707</v>
      </c>
      <c r="E22" s="7" t="str">
        <f>IF(D22="","",IFERROR(_xlfn.XLOOKUP(D22,'Plan Comptable'!$B$5:$B$13,'Plan Comptable'!$C$5:$C$13),"Compte Introuvable"))</f>
        <v>Ventes de marchandises</v>
      </c>
      <c r="F22" s="7"/>
      <c r="G22" s="7">
        <v>600</v>
      </c>
    </row>
    <row r="23" spans="2:7" x14ac:dyDescent="0.3">
      <c r="B23" s="9">
        <v>45955</v>
      </c>
      <c r="C23" s="7" t="s">
        <v>26</v>
      </c>
      <c r="D23" s="7">
        <v>4457</v>
      </c>
      <c r="E23" s="7" t="str">
        <f>IF(D23="","",IFERROR(_xlfn.XLOOKUP(D23,'Plan Comptable'!$B$5:$B$13,'Plan Comptable'!$C$5:$C$13),"Compte Introuvable"))</f>
        <v>TVA collectée</v>
      </c>
      <c r="F23" s="7"/>
      <c r="G23" s="7">
        <v>60</v>
      </c>
    </row>
    <row r="24" spans="2:7" x14ac:dyDescent="0.3">
      <c r="B24" s="7"/>
      <c r="C24" s="7"/>
      <c r="D24" s="7"/>
      <c r="E24" s="7" t="str">
        <f>IF(D24="","",IFERROR(_xlfn.XLOOKUP(D24,'Plan Comptable'!$B$5:$B$13,'Plan Comptable'!$C$5:$C$13),"Compte Introuvable"))</f>
        <v/>
      </c>
      <c r="F24" s="7"/>
      <c r="G24" s="7"/>
    </row>
    <row r="25" spans="2:7" x14ac:dyDescent="0.3">
      <c r="B25" s="9">
        <v>45920</v>
      </c>
      <c r="C25" s="7" t="s">
        <v>27</v>
      </c>
      <c r="D25" s="7">
        <v>411</v>
      </c>
      <c r="E25" s="7" t="str">
        <f>IF(D25="","",IFERROR(_xlfn.XLOOKUP(D25,'Plan Comptable'!$B$5:$B$13,'Plan Comptable'!$C$5:$C$13),"Compte Introuvable"))</f>
        <v>Clients</v>
      </c>
      <c r="F25" s="10">
        <v>1440</v>
      </c>
      <c r="G25" s="7"/>
    </row>
    <row r="26" spans="2:7" x14ac:dyDescent="0.3">
      <c r="B26" s="9">
        <v>45920</v>
      </c>
      <c r="C26" s="7" t="s">
        <v>27</v>
      </c>
      <c r="D26" s="7">
        <v>707</v>
      </c>
      <c r="E26" s="7" t="str">
        <f>IF(D26="","",IFERROR(_xlfn.XLOOKUP(D26,'Plan Comptable'!$B$5:$B$13,'Plan Comptable'!$C$5:$C$13),"Compte Introuvable"))</f>
        <v>Ventes de marchandises</v>
      </c>
      <c r="F26" s="7"/>
      <c r="G26" s="10">
        <v>1200</v>
      </c>
    </row>
    <row r="27" spans="2:7" x14ac:dyDescent="0.3">
      <c r="B27" s="9">
        <v>45920</v>
      </c>
      <c r="C27" s="7" t="s">
        <v>27</v>
      </c>
      <c r="D27" s="7">
        <v>4457</v>
      </c>
      <c r="E27" s="7" t="str">
        <f>IF(D27="","",IFERROR(_xlfn.XLOOKUP(D27,'Plan Comptable'!$B$5:$B$13,'Plan Comptable'!$C$5:$C$13),"Compte Introuvable"))</f>
        <v>TVA collectée</v>
      </c>
      <c r="F27" s="7"/>
      <c r="G27" s="7">
        <v>240</v>
      </c>
    </row>
    <row r="28" spans="2:7" x14ac:dyDescent="0.3">
      <c r="B28" s="7"/>
      <c r="C28" s="7"/>
      <c r="D28" s="7"/>
      <c r="E28" s="7" t="str">
        <f>IF(D28="","",IFERROR(_xlfn.XLOOKUP(D28,'Plan Comptable'!$B$5:$B$13,'Plan Comptable'!$C$5:$C$13),"Compte Introuvable"))</f>
        <v/>
      </c>
      <c r="F28" s="7"/>
      <c r="G28" s="7"/>
    </row>
    <row r="29" spans="2:7" x14ac:dyDescent="0.3">
      <c r="B29" s="9">
        <v>45910</v>
      </c>
      <c r="C29" s="7" t="s">
        <v>49</v>
      </c>
      <c r="D29" s="7">
        <v>998</v>
      </c>
      <c r="E29" s="7" t="str">
        <f>IF(D29="","",IFERROR(_xlfn.XLOOKUP(D29,'Plan Comptable'!$B$5:$B$13,'Plan Comptable'!$C$5:$C$13),"Compte Introuvable"))</f>
        <v>Compte Introuvable</v>
      </c>
      <c r="F29" s="7">
        <v>500</v>
      </c>
      <c r="G29" s="7"/>
    </row>
    <row r="30" spans="2:7" x14ac:dyDescent="0.3">
      <c r="B30" s="11">
        <v>45910</v>
      </c>
      <c r="C30" s="8" t="s">
        <v>49</v>
      </c>
      <c r="D30" s="8">
        <v>706</v>
      </c>
      <c r="E30" s="8" t="str">
        <f>IF(D30="","",IFERROR(_xlfn.XLOOKUP(D30,'Plan Comptable'!$B$5:$B$13,'Plan Comptable'!$C$5:$C$13),"Compte Introuvable"))</f>
        <v>Compte Introuvable</v>
      </c>
      <c r="F30" s="8"/>
      <c r="G30" s="8">
        <v>500</v>
      </c>
    </row>
  </sheetData>
  <mergeCells count="1">
    <mergeCell ref="B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D8549-0965-4ABD-9CAB-20BD17D6551F}">
  <dimension ref="B2:K19"/>
  <sheetViews>
    <sheetView showGridLines="0" workbookViewId="0">
      <selection activeCell="E14" sqref="E14"/>
    </sheetView>
  </sheetViews>
  <sheetFormatPr baseColWidth="10" defaultRowHeight="14.4" x14ac:dyDescent="0.3"/>
  <cols>
    <col min="5" max="5" width="20.77734375" bestFit="1" customWidth="1"/>
  </cols>
  <sheetData>
    <row r="2" spans="2:11" ht="19.8" x14ac:dyDescent="0.3">
      <c r="B2" s="26" t="s">
        <v>5</v>
      </c>
      <c r="C2" s="27"/>
      <c r="D2" s="27"/>
      <c r="E2" s="27"/>
      <c r="F2" s="27"/>
      <c r="G2" s="30"/>
    </row>
    <row r="3" spans="2:11" ht="6" customHeight="1" x14ac:dyDescent="0.3">
      <c r="B3" s="3"/>
      <c r="G3" s="4"/>
    </row>
    <row r="4" spans="2:11" x14ac:dyDescent="0.3">
      <c r="B4" s="2" t="s">
        <v>9</v>
      </c>
      <c r="C4" s="2" t="s">
        <v>44</v>
      </c>
      <c r="D4" s="2" t="s">
        <v>0</v>
      </c>
      <c r="E4" s="2" t="s">
        <v>1</v>
      </c>
      <c r="F4" s="2" t="s">
        <v>45</v>
      </c>
      <c r="G4" s="2" t="s">
        <v>10</v>
      </c>
    </row>
    <row r="5" spans="2:11" x14ac:dyDescent="0.3">
      <c r="B5" s="9">
        <v>45903</v>
      </c>
      <c r="C5" s="7" t="s">
        <v>35</v>
      </c>
      <c r="D5" s="7">
        <v>606</v>
      </c>
      <c r="E5" s="7" t="str">
        <f>_xlfn.XLOOKUP(D5,'Plan Comptable'!$B$5:$B$13,'Plan Comptable'!$C$5:$C$13)</f>
        <v>Achats non stockés</v>
      </c>
      <c r="F5" s="10">
        <v>1200</v>
      </c>
      <c r="G5" s="7"/>
    </row>
    <row r="6" spans="2:11" x14ac:dyDescent="0.3">
      <c r="B6" s="9">
        <v>45903</v>
      </c>
      <c r="C6" s="7" t="s">
        <v>35</v>
      </c>
      <c r="D6" s="7">
        <v>4456</v>
      </c>
      <c r="E6" s="7" t="str">
        <f>_xlfn.XLOOKUP(D6,'Plan Comptable'!$B$5:$B$13,'Plan Comptable'!$C$5:$C$13)</f>
        <v>TVA déductible</v>
      </c>
      <c r="F6" s="7">
        <v>240</v>
      </c>
      <c r="G6" s="7"/>
    </row>
    <row r="7" spans="2:11" x14ac:dyDescent="0.3">
      <c r="B7" s="9">
        <v>45903</v>
      </c>
      <c r="C7" s="7" t="s">
        <v>35</v>
      </c>
      <c r="D7" s="7">
        <v>401</v>
      </c>
      <c r="E7" s="7" t="str">
        <f>_xlfn.XLOOKUP(D7,'Plan Comptable'!$B$5:$B$13,'Plan Comptable'!$C$5:$C$13)</f>
        <v>Fournisseurs</v>
      </c>
      <c r="F7" s="7"/>
      <c r="G7" s="10">
        <v>1440</v>
      </c>
    </row>
    <row r="8" spans="2:11" x14ac:dyDescent="0.3">
      <c r="B8" s="9"/>
      <c r="C8" s="7"/>
      <c r="D8" s="7"/>
      <c r="E8" s="7"/>
      <c r="F8" s="7"/>
      <c r="G8" s="7"/>
    </row>
    <row r="9" spans="2:11" x14ac:dyDescent="0.3">
      <c r="B9" s="9">
        <v>45908</v>
      </c>
      <c r="C9" s="7" t="s">
        <v>37</v>
      </c>
      <c r="D9" s="7">
        <v>607</v>
      </c>
      <c r="E9" s="7" t="str">
        <f>_xlfn.XLOOKUP(D9,'Plan Comptable'!$B$5:$B$13,'Plan Comptable'!$C$5:$C$13)</f>
        <v>Achats de marchandises</v>
      </c>
      <c r="F9" s="7">
        <v>800</v>
      </c>
      <c r="G9" s="7"/>
    </row>
    <row r="10" spans="2:11" x14ac:dyDescent="0.3">
      <c r="B10" s="9">
        <v>45908</v>
      </c>
      <c r="C10" s="7" t="s">
        <v>37</v>
      </c>
      <c r="D10" s="7">
        <v>4456</v>
      </c>
      <c r="E10" s="7" t="str">
        <f>_xlfn.XLOOKUP(D10,'Plan Comptable'!$B$5:$B$13,'Plan Comptable'!$C$5:$C$13)</f>
        <v>TVA déductible</v>
      </c>
      <c r="F10" s="7">
        <v>160</v>
      </c>
      <c r="G10" s="7"/>
    </row>
    <row r="11" spans="2:11" x14ac:dyDescent="0.3">
      <c r="B11" s="9">
        <v>45908</v>
      </c>
      <c r="C11" s="7" t="s">
        <v>37</v>
      </c>
      <c r="D11" s="7">
        <v>401</v>
      </c>
      <c r="E11" s="7" t="str">
        <f>_xlfn.XLOOKUP(D11,'Plan Comptable'!$B$5:$B$13,'Plan Comptable'!$C$5:$C$13)</f>
        <v>Fournisseurs</v>
      </c>
      <c r="F11" s="7"/>
      <c r="G11" s="7">
        <v>960</v>
      </c>
      <c r="K11" s="1"/>
    </row>
    <row r="12" spans="2:11" x14ac:dyDescent="0.3">
      <c r="B12" s="7"/>
      <c r="C12" s="7"/>
      <c r="D12" s="7"/>
      <c r="E12" s="7"/>
      <c r="F12" s="7"/>
      <c r="G12" s="7"/>
    </row>
    <row r="13" spans="2:11" x14ac:dyDescent="0.3">
      <c r="B13" s="9">
        <v>45915</v>
      </c>
      <c r="C13" s="7" t="s">
        <v>39</v>
      </c>
      <c r="D13" s="7">
        <v>606</v>
      </c>
      <c r="E13" s="7" t="str">
        <f>_xlfn.XLOOKUP(D13,'Plan Comptable'!$B$5:$B$13,'Plan Comptable'!$C$5:$C$13)</f>
        <v>Achats non stockés</v>
      </c>
      <c r="F13" s="10">
        <v>2500</v>
      </c>
      <c r="G13" s="7"/>
    </row>
    <row r="14" spans="2:11" x14ac:dyDescent="0.3">
      <c r="B14" s="9">
        <v>45915</v>
      </c>
      <c r="C14" s="7" t="s">
        <v>39</v>
      </c>
      <c r="D14" s="7">
        <v>4456</v>
      </c>
      <c r="E14" s="7" t="str">
        <f>_xlfn.XLOOKUP(D14,'Plan Comptable'!$B$5:$B$13,'Plan Comptable'!$C$5:$C$13)</f>
        <v>TVA déductible</v>
      </c>
      <c r="F14" s="7">
        <v>500</v>
      </c>
      <c r="G14" s="7"/>
    </row>
    <row r="15" spans="2:11" x14ac:dyDescent="0.3">
      <c r="B15" s="9">
        <v>45915</v>
      </c>
      <c r="C15" s="7" t="s">
        <v>39</v>
      </c>
      <c r="D15" s="7">
        <v>401</v>
      </c>
      <c r="E15" s="7" t="str">
        <f>_xlfn.XLOOKUP(D15,'Plan Comptable'!$B$5:$B$13,'Plan Comptable'!$C$5:$C$13)</f>
        <v>Fournisseurs</v>
      </c>
      <c r="F15" s="7"/>
      <c r="G15" s="10">
        <v>3000</v>
      </c>
    </row>
    <row r="16" spans="2:11" x14ac:dyDescent="0.3">
      <c r="B16" s="7"/>
      <c r="C16" s="7"/>
      <c r="D16" s="7"/>
      <c r="E16" s="7"/>
      <c r="F16" s="7"/>
      <c r="G16" s="7"/>
    </row>
    <row r="17" spans="2:7" x14ac:dyDescent="0.3">
      <c r="B17" s="9">
        <v>45920</v>
      </c>
      <c r="C17" s="7" t="s">
        <v>41</v>
      </c>
      <c r="D17" s="7">
        <v>606</v>
      </c>
      <c r="E17" s="7" t="str">
        <f>_xlfn.XLOOKUP(D17,'Plan Comptable'!$B$5:$B$13,'Plan Comptable'!$C$5:$C$13)</f>
        <v>Achats non stockés</v>
      </c>
      <c r="F17" s="7">
        <v>600</v>
      </c>
      <c r="G17" s="7"/>
    </row>
    <row r="18" spans="2:7" x14ac:dyDescent="0.3">
      <c r="B18" s="9">
        <v>45920</v>
      </c>
      <c r="C18" s="7" t="s">
        <v>41</v>
      </c>
      <c r="D18" s="7">
        <v>4456</v>
      </c>
      <c r="E18" s="7" t="str">
        <f>_xlfn.XLOOKUP(D18,'Plan Comptable'!$B$5:$B$13,'Plan Comptable'!$C$5:$C$13)</f>
        <v>TVA déductible</v>
      </c>
      <c r="F18" s="7">
        <v>60</v>
      </c>
      <c r="G18" s="7"/>
    </row>
    <row r="19" spans="2:7" x14ac:dyDescent="0.3">
      <c r="B19" s="11">
        <v>45920</v>
      </c>
      <c r="C19" s="8" t="s">
        <v>41</v>
      </c>
      <c r="D19" s="8">
        <v>401</v>
      </c>
      <c r="E19" s="8" t="str">
        <f>_xlfn.XLOOKUP(D19,'Plan Comptable'!$B$5:$B$13,'Plan Comptable'!$C$5:$C$13)</f>
        <v>Fournisseurs</v>
      </c>
      <c r="F19" s="8"/>
      <c r="G19" s="8">
        <v>660</v>
      </c>
    </row>
  </sheetData>
  <mergeCells count="1">
    <mergeCell ref="B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31631-7529-4A9A-A1C3-C4D1FE054CAC}">
  <dimension ref="B2:J18"/>
  <sheetViews>
    <sheetView showGridLines="0" workbookViewId="0">
      <selection activeCell="L8" sqref="L8"/>
    </sheetView>
  </sheetViews>
  <sheetFormatPr baseColWidth="10" defaultRowHeight="14.4" x14ac:dyDescent="0.3"/>
  <cols>
    <col min="4" max="4" width="12.21875" customWidth="1"/>
    <col min="6" max="6" width="17.44140625" customWidth="1"/>
  </cols>
  <sheetData>
    <row r="2" spans="2:10" ht="19.8" customHeight="1" x14ac:dyDescent="0.3">
      <c r="B2" s="26" t="s">
        <v>33</v>
      </c>
      <c r="C2" s="27"/>
      <c r="D2" s="27"/>
      <c r="E2" s="27"/>
      <c r="F2" s="27"/>
      <c r="G2" s="27"/>
      <c r="H2" s="27"/>
      <c r="I2" s="27"/>
    </row>
    <row r="3" spans="2:10" ht="6" customHeight="1" x14ac:dyDescent="0.3">
      <c r="B3" s="3"/>
      <c r="C3" s="36"/>
      <c r="D3" s="36"/>
      <c r="E3" s="36"/>
      <c r="F3" s="36"/>
      <c r="G3" s="4"/>
      <c r="H3" s="4"/>
      <c r="I3" s="40"/>
    </row>
    <row r="4" spans="2:10" x14ac:dyDescent="0.3">
      <c r="B4" s="41" t="s">
        <v>11</v>
      </c>
      <c r="C4" s="41" t="s">
        <v>12</v>
      </c>
      <c r="D4" s="41" t="s">
        <v>13</v>
      </c>
      <c r="E4" s="41" t="s">
        <v>14</v>
      </c>
      <c r="F4" s="41" t="s">
        <v>15</v>
      </c>
      <c r="G4" s="41" t="s">
        <v>16</v>
      </c>
      <c r="H4" s="41" t="s">
        <v>50</v>
      </c>
      <c r="I4" s="42" t="s">
        <v>55</v>
      </c>
    </row>
    <row r="5" spans="2:10" x14ac:dyDescent="0.3">
      <c r="B5" s="7" t="s">
        <v>17</v>
      </c>
      <c r="C5" s="7" t="s">
        <v>18</v>
      </c>
      <c r="D5" s="10">
        <v>2000</v>
      </c>
      <c r="E5" s="14">
        <v>0.2</v>
      </c>
      <c r="F5" s="9">
        <v>45915</v>
      </c>
      <c r="G5" s="7" t="s">
        <v>19</v>
      </c>
      <c r="H5" s="43" t="str">
        <f ca="1">IF(G5="Oui","OK",IF(TODAY()&gt;F5,"En Retard","OK"))</f>
        <v>OK</v>
      </c>
      <c r="I5" s="45">
        <f ca="1">IF(H5="OK",0,TODAY()-F5)</f>
        <v>0</v>
      </c>
    </row>
    <row r="6" spans="2:10" x14ac:dyDescent="0.3">
      <c r="B6" s="7" t="s">
        <v>20</v>
      </c>
      <c r="C6" s="7" t="s">
        <v>21</v>
      </c>
      <c r="D6" s="10">
        <v>1000</v>
      </c>
      <c r="E6" s="14">
        <v>0.1</v>
      </c>
      <c r="F6" s="9">
        <v>45930</v>
      </c>
      <c r="G6" s="7" t="s">
        <v>22</v>
      </c>
      <c r="H6" s="7" t="str">
        <f t="shared" ref="H6:H10" ca="1" si="0">IF(G6="Oui","OK",IF(TODAY()&gt;F6,"En Retard","OK"))</f>
        <v>OK</v>
      </c>
      <c r="I6" s="3">
        <f t="shared" ref="I6:I10" ca="1" si="1">IF(H6="OK",0,TODAY()-F6)</f>
        <v>0</v>
      </c>
    </row>
    <row r="7" spans="2:10" x14ac:dyDescent="0.3">
      <c r="B7" s="7" t="s">
        <v>23</v>
      </c>
      <c r="C7" s="7" t="s">
        <v>18</v>
      </c>
      <c r="D7" s="7">
        <v>800</v>
      </c>
      <c r="E7" s="14">
        <v>0.2</v>
      </c>
      <c r="F7" s="9">
        <v>45879</v>
      </c>
      <c r="G7" s="7" t="s">
        <v>22</v>
      </c>
      <c r="H7" s="7" t="str">
        <f t="shared" ca="1" si="0"/>
        <v>En Retard</v>
      </c>
      <c r="I7" s="3">
        <f t="shared" ca="1" si="1"/>
        <v>49</v>
      </c>
    </row>
    <row r="8" spans="2:10" x14ac:dyDescent="0.3">
      <c r="B8" s="7" t="s">
        <v>24</v>
      </c>
      <c r="C8" s="7" t="s">
        <v>25</v>
      </c>
      <c r="D8" s="10">
        <v>2500</v>
      </c>
      <c r="E8" s="14">
        <v>0.2</v>
      </c>
      <c r="F8" s="9">
        <v>45905</v>
      </c>
      <c r="G8" s="7" t="s">
        <v>19</v>
      </c>
      <c r="H8" s="7" t="str">
        <f t="shared" ca="1" si="0"/>
        <v>OK</v>
      </c>
      <c r="I8" s="3">
        <f t="shared" ca="1" si="1"/>
        <v>0</v>
      </c>
    </row>
    <row r="9" spans="2:10" x14ac:dyDescent="0.3">
      <c r="B9" s="7" t="s">
        <v>26</v>
      </c>
      <c r="C9" s="7" t="s">
        <v>21</v>
      </c>
      <c r="D9" s="7">
        <v>600</v>
      </c>
      <c r="E9" s="14">
        <v>0.1</v>
      </c>
      <c r="F9" s="9">
        <v>45955</v>
      </c>
      <c r="G9" s="7" t="s">
        <v>22</v>
      </c>
      <c r="H9" s="7" t="str">
        <f t="shared" ca="1" si="0"/>
        <v>OK</v>
      </c>
      <c r="I9" s="3">
        <f t="shared" ca="1" si="1"/>
        <v>0</v>
      </c>
      <c r="J9" s="1"/>
    </row>
    <row r="10" spans="2:10" x14ac:dyDescent="0.3">
      <c r="B10" s="7" t="s">
        <v>27</v>
      </c>
      <c r="C10" s="7" t="s">
        <v>25</v>
      </c>
      <c r="D10" s="10">
        <v>1200</v>
      </c>
      <c r="E10" s="14">
        <v>0.2</v>
      </c>
      <c r="F10" s="9">
        <v>45920</v>
      </c>
      <c r="G10" s="7" t="s">
        <v>22</v>
      </c>
      <c r="H10" s="7" t="str">
        <f t="shared" ca="1" si="0"/>
        <v>En Retard</v>
      </c>
      <c r="I10" s="3">
        <f t="shared" ca="1" si="1"/>
        <v>8</v>
      </c>
    </row>
    <row r="11" spans="2:10" x14ac:dyDescent="0.3">
      <c r="B11" s="36"/>
      <c r="C11" s="36"/>
      <c r="D11" s="37"/>
      <c r="E11" s="38"/>
      <c r="F11" s="39"/>
      <c r="G11" s="36"/>
      <c r="H11" s="36"/>
      <c r="I11" s="36"/>
    </row>
    <row r="12" spans="2:10" x14ac:dyDescent="0.3">
      <c r="D12" s="12"/>
      <c r="E12" s="13"/>
      <c r="F12" s="1"/>
    </row>
    <row r="13" spans="2:10" ht="18" customHeight="1" x14ac:dyDescent="0.3">
      <c r="B13" s="31" t="s">
        <v>54</v>
      </c>
      <c r="C13" s="32"/>
      <c r="D13" s="12"/>
      <c r="E13" s="31" t="s">
        <v>56</v>
      </c>
      <c r="F13" s="32"/>
    </row>
    <row r="14" spans="2:10" ht="6" customHeight="1" x14ac:dyDescent="0.3">
      <c r="B14" s="3"/>
      <c r="C14" s="4"/>
      <c r="E14" s="3"/>
      <c r="F14" s="4"/>
    </row>
    <row r="15" spans="2:10" x14ac:dyDescent="0.3">
      <c r="B15" s="2" t="s">
        <v>12</v>
      </c>
      <c r="C15" s="2" t="s">
        <v>13</v>
      </c>
      <c r="E15" s="2" t="s">
        <v>12</v>
      </c>
      <c r="F15" s="2" t="s">
        <v>13</v>
      </c>
    </row>
    <row r="16" spans="2:10" x14ac:dyDescent="0.3">
      <c r="B16" s="7" t="str">
        <f>C5</f>
        <v>Dupont SA</v>
      </c>
      <c r="C16" s="44">
        <f>SUMIFS(FacturesClients[Montant HT],FacturesClients[Client],B16)</f>
        <v>2800</v>
      </c>
      <c r="E16" s="7" t="s">
        <v>18</v>
      </c>
      <c r="F16" s="43">
        <f>SUMIFS(FacturesClients[Montant HT],FacturesClients[Client],E16,FacturesClients[Payé ?],"Non")</f>
        <v>800</v>
      </c>
    </row>
    <row r="17" spans="2:6" x14ac:dyDescent="0.3">
      <c r="B17" s="7" t="str">
        <f>C6</f>
        <v>Martin SARL</v>
      </c>
      <c r="C17" s="10">
        <f>SUMIFS(FacturesClients[Montant HT],FacturesClients[Client],B17)</f>
        <v>1600</v>
      </c>
      <c r="E17" s="7" t="s">
        <v>21</v>
      </c>
      <c r="F17" s="7">
        <f>SUMIFS(FacturesClients[Montant HT],FacturesClients[Client],E17,FacturesClients[Payé ?],"Non")</f>
        <v>1600</v>
      </c>
    </row>
    <row r="18" spans="2:6" x14ac:dyDescent="0.3">
      <c r="B18" s="8" t="str">
        <f>C8</f>
        <v>Leblanc SAS</v>
      </c>
      <c r="C18" s="15">
        <f>SUMIFS(FacturesClients[Montant HT],FacturesClients[Client],B18)</f>
        <v>3700</v>
      </c>
      <c r="E18" s="8" t="s">
        <v>25</v>
      </c>
      <c r="F18" s="8">
        <f>SUMIFS(FacturesClients[Montant HT],FacturesClients[Client],E18,FacturesClients[Payé ?],"Non")</f>
        <v>1200</v>
      </c>
    </row>
  </sheetData>
  <mergeCells count="3">
    <mergeCell ref="E13:F13"/>
    <mergeCell ref="B13:C13"/>
    <mergeCell ref="B2:I2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1CEE9-8613-4D3D-AC72-4D9982C65178}">
  <dimension ref="B2:H8"/>
  <sheetViews>
    <sheetView showGridLines="0" workbookViewId="0">
      <selection activeCell="H5" sqref="H5"/>
    </sheetView>
  </sheetViews>
  <sheetFormatPr baseColWidth="10" defaultRowHeight="14.4" x14ac:dyDescent="0.3"/>
  <cols>
    <col min="3" max="3" width="15.6640625" bestFit="1" customWidth="1"/>
  </cols>
  <sheetData>
    <row r="2" spans="2:8" ht="19.8" customHeight="1" x14ac:dyDescent="0.3">
      <c r="B2" s="33" t="s">
        <v>43</v>
      </c>
      <c r="C2" s="34"/>
      <c r="D2" s="34"/>
      <c r="E2" s="34"/>
      <c r="F2" s="34"/>
      <c r="G2" s="34"/>
      <c r="H2" s="35"/>
    </row>
    <row r="3" spans="2:8" ht="6" customHeight="1" x14ac:dyDescent="0.3">
      <c r="B3" s="3"/>
      <c r="G3" s="4"/>
      <c r="H3" s="4"/>
    </row>
    <row r="4" spans="2:8" x14ac:dyDescent="0.3">
      <c r="B4" s="2" t="s">
        <v>11</v>
      </c>
      <c r="C4" s="2" t="s">
        <v>12</v>
      </c>
      <c r="D4" s="2" t="s">
        <v>13</v>
      </c>
      <c r="E4" s="2" t="s">
        <v>14</v>
      </c>
      <c r="F4" s="2" t="s">
        <v>15</v>
      </c>
      <c r="G4" s="2" t="s">
        <v>16</v>
      </c>
      <c r="H4" s="17" t="s">
        <v>50</v>
      </c>
    </row>
    <row r="5" spans="2:8" x14ac:dyDescent="0.3">
      <c r="B5" s="7" t="s">
        <v>35</v>
      </c>
      <c r="C5" s="7" t="s">
        <v>36</v>
      </c>
      <c r="D5" s="10">
        <v>1200</v>
      </c>
      <c r="E5" s="14">
        <v>0.2</v>
      </c>
      <c r="F5" s="9">
        <v>45912</v>
      </c>
      <c r="G5" s="7" t="s">
        <v>19</v>
      </c>
      <c r="H5" s="4"/>
    </row>
    <row r="6" spans="2:8" x14ac:dyDescent="0.3">
      <c r="B6" s="7" t="s">
        <v>37</v>
      </c>
      <c r="C6" s="7" t="s">
        <v>38</v>
      </c>
      <c r="D6" s="7">
        <v>800</v>
      </c>
      <c r="E6" s="14">
        <v>0.2</v>
      </c>
      <c r="F6" s="9">
        <v>45918</v>
      </c>
      <c r="G6" s="7" t="s">
        <v>22</v>
      </c>
      <c r="H6" s="4"/>
    </row>
    <row r="7" spans="2:8" x14ac:dyDescent="0.3">
      <c r="B7" s="7" t="s">
        <v>39</v>
      </c>
      <c r="C7" s="7" t="s">
        <v>40</v>
      </c>
      <c r="D7" s="10">
        <v>2500</v>
      </c>
      <c r="E7" s="14">
        <v>0.2</v>
      </c>
      <c r="F7" s="9">
        <v>45930</v>
      </c>
      <c r="G7" s="7" t="s">
        <v>19</v>
      </c>
      <c r="H7" s="4"/>
    </row>
    <row r="8" spans="2:8" x14ac:dyDescent="0.3">
      <c r="B8" s="8" t="s">
        <v>41</v>
      </c>
      <c r="C8" s="8" t="s">
        <v>42</v>
      </c>
      <c r="D8" s="8">
        <v>600</v>
      </c>
      <c r="E8" s="16">
        <v>0.1</v>
      </c>
      <c r="F8" s="11">
        <v>45925</v>
      </c>
      <c r="G8" s="8" t="s">
        <v>22</v>
      </c>
      <c r="H8" s="6"/>
    </row>
  </sheetData>
  <mergeCells count="1">
    <mergeCell ref="B2:H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D99D4-DCFB-44EC-8567-95E44141EACF}">
  <dimension ref="B2:E18"/>
  <sheetViews>
    <sheetView showGridLines="0" tabSelected="1" zoomScale="115" zoomScaleNormal="115" workbookViewId="0">
      <selection activeCell="D16" sqref="D16:E16"/>
    </sheetView>
  </sheetViews>
  <sheetFormatPr baseColWidth="10" defaultRowHeight="14.4" x14ac:dyDescent="0.3"/>
  <cols>
    <col min="2" max="2" width="15" bestFit="1" customWidth="1"/>
  </cols>
  <sheetData>
    <row r="2" spans="2:5" ht="19.8" customHeight="1" x14ac:dyDescent="0.3">
      <c r="B2" s="33" t="s">
        <v>34</v>
      </c>
      <c r="C2" s="34"/>
      <c r="D2" s="34"/>
      <c r="E2" s="35"/>
    </row>
    <row r="3" spans="2:5" ht="6" customHeight="1" x14ac:dyDescent="0.3">
      <c r="B3" s="5"/>
      <c r="E3" s="4"/>
    </row>
    <row r="4" spans="2:5" x14ac:dyDescent="0.3">
      <c r="B4" s="2" t="s">
        <v>46</v>
      </c>
      <c r="C4" s="2" t="s">
        <v>11</v>
      </c>
      <c r="D4" s="22" t="s">
        <v>13</v>
      </c>
      <c r="E4" s="2" t="s">
        <v>14</v>
      </c>
    </row>
    <row r="5" spans="2:5" x14ac:dyDescent="0.3">
      <c r="B5" s="7" t="s">
        <v>47</v>
      </c>
      <c r="C5" s="7" t="s">
        <v>17</v>
      </c>
      <c r="D5" s="23">
        <v>2000</v>
      </c>
      <c r="E5" s="14">
        <v>0.2</v>
      </c>
    </row>
    <row r="6" spans="2:5" x14ac:dyDescent="0.3">
      <c r="B6" s="7" t="s">
        <v>47</v>
      </c>
      <c r="C6" s="7" t="s">
        <v>20</v>
      </c>
      <c r="D6" s="23">
        <v>1000</v>
      </c>
      <c r="E6" s="14">
        <v>0.1</v>
      </c>
    </row>
    <row r="7" spans="2:5" x14ac:dyDescent="0.3">
      <c r="B7" s="7" t="s">
        <v>47</v>
      </c>
      <c r="C7" s="7" t="s">
        <v>23</v>
      </c>
      <c r="D7" s="3">
        <v>800</v>
      </c>
      <c r="E7" s="14">
        <v>0.2</v>
      </c>
    </row>
    <row r="8" spans="2:5" x14ac:dyDescent="0.3">
      <c r="B8" s="7" t="s">
        <v>47</v>
      </c>
      <c r="C8" s="7" t="s">
        <v>24</v>
      </c>
      <c r="D8" s="23">
        <v>2500</v>
      </c>
      <c r="E8" s="14">
        <v>0.2</v>
      </c>
    </row>
    <row r="9" spans="2:5" x14ac:dyDescent="0.3">
      <c r="B9" s="7" t="s">
        <v>47</v>
      </c>
      <c r="C9" s="7" t="s">
        <v>26</v>
      </c>
      <c r="D9" s="3">
        <v>600</v>
      </c>
      <c r="E9" s="14">
        <v>0.1</v>
      </c>
    </row>
    <row r="10" spans="2:5" x14ac:dyDescent="0.3">
      <c r="B10" s="7" t="s">
        <v>47</v>
      </c>
      <c r="C10" s="7" t="s">
        <v>27</v>
      </c>
      <c r="D10" s="23">
        <v>1200</v>
      </c>
      <c r="E10" s="14">
        <v>0.2</v>
      </c>
    </row>
    <row r="11" spans="2:5" x14ac:dyDescent="0.3">
      <c r="B11" s="24" t="s">
        <v>51</v>
      </c>
      <c r="C11" s="20"/>
      <c r="D11" s="48">
        <f>SUMPRODUCT(D5:D10,E5:E10)</f>
        <v>1460</v>
      </c>
      <c r="E11" s="49"/>
    </row>
    <row r="12" spans="2:5" x14ac:dyDescent="0.3">
      <c r="B12" s="7" t="s">
        <v>48</v>
      </c>
      <c r="C12" s="7" t="s">
        <v>35</v>
      </c>
      <c r="D12" s="23">
        <v>1200</v>
      </c>
      <c r="E12" s="14">
        <v>0.2</v>
      </c>
    </row>
    <row r="13" spans="2:5" x14ac:dyDescent="0.3">
      <c r="B13" s="7" t="s">
        <v>48</v>
      </c>
      <c r="C13" s="7" t="s">
        <v>37</v>
      </c>
      <c r="D13" s="3">
        <v>800</v>
      </c>
      <c r="E13" s="14">
        <v>0.2</v>
      </c>
    </row>
    <row r="14" spans="2:5" x14ac:dyDescent="0.3">
      <c r="B14" s="7" t="s">
        <v>48</v>
      </c>
      <c r="C14" s="7" t="s">
        <v>39</v>
      </c>
      <c r="D14" s="23">
        <v>2500</v>
      </c>
      <c r="E14" s="14">
        <v>0.2</v>
      </c>
    </row>
    <row r="15" spans="2:5" x14ac:dyDescent="0.3">
      <c r="B15" s="8" t="s">
        <v>48</v>
      </c>
      <c r="C15" s="8" t="s">
        <v>41</v>
      </c>
      <c r="D15" s="5">
        <v>600</v>
      </c>
      <c r="E15" s="16">
        <v>0.1</v>
      </c>
    </row>
    <row r="16" spans="2:5" x14ac:dyDescent="0.3">
      <c r="B16" s="25" t="s">
        <v>52</v>
      </c>
      <c r="C16" s="20"/>
      <c r="D16" s="50">
        <f>SUMPRODUCT(D12:D15,E12:E15)</f>
        <v>960</v>
      </c>
      <c r="E16" s="51"/>
    </row>
    <row r="17" spans="2:5" x14ac:dyDescent="0.3">
      <c r="B17" s="20"/>
      <c r="C17" s="18"/>
      <c r="D17" s="18"/>
      <c r="E17" s="19"/>
    </row>
    <row r="18" spans="2:5" x14ac:dyDescent="0.3">
      <c r="B18" s="25" t="s">
        <v>53</v>
      </c>
      <c r="C18" s="20"/>
      <c r="D18" s="46">
        <f>SUM(D11,D16)</f>
        <v>2420</v>
      </c>
      <c r="E18" s="47"/>
    </row>
  </sheetData>
  <mergeCells count="4">
    <mergeCell ref="B2:E2"/>
    <mergeCell ref="D11:E11"/>
    <mergeCell ref="D16:E16"/>
    <mergeCell ref="D18:E18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860db96-b53f-4bd7-8137-e09357cab268}" enabled="1" method="Standard" siteId="{b78d03e6-f6a2-4cff-83be-847d1a6453f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Plan Comptable</vt:lpstr>
      <vt:lpstr>Journal Ventes</vt:lpstr>
      <vt:lpstr>Journal Achats</vt:lpstr>
      <vt:lpstr>Factures Clients</vt:lpstr>
      <vt:lpstr>Factures Fournisseurs</vt:lpstr>
      <vt:lpstr>Analyse TVA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LAIRET Gauthier</dc:creator>
  <cp:lastModifiedBy>LAIRET Gauthier</cp:lastModifiedBy>
  <dcterms:created xsi:type="dcterms:W3CDTF">2025-09-27T14:06:35Z</dcterms:created>
  <dcterms:modified xsi:type="dcterms:W3CDTF">2025-09-28T21:49:01Z</dcterms:modified>
</cp:coreProperties>
</file>