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/Users/nico_parent/Library/CloudStorage/GoogleDrive-n.parent@morpheus-formation.fr/Drive partagés/1-MORPHEUS FORMATION/1.Formations/1-Excel/0-Ressources/4.Webinaires/5-Comprendre et maîtriser les nouvelles fonctions Excel/"/>
    </mc:Choice>
  </mc:AlternateContent>
  <xr:revisionPtr revIDLastSave="0" documentId="13_ncr:1_{C62B6D0C-9BA9-D046-8318-02B4807A386C}" xr6:coauthVersionLast="47" xr6:coauthVersionMax="47" xr10:uidLastSave="{00000000-0000-0000-0000-000000000000}"/>
  <bookViews>
    <workbookView xWindow="28800" yWindow="-1800" windowWidth="38400" windowHeight="19900" xr2:uid="{00000000-000D-0000-FFFF-FFFF00000000}"/>
  </bookViews>
  <sheets>
    <sheet name="Objectifs" sheetId="10" r:id="rId1"/>
    <sheet name="DANSCOL-LIGNE, ORGA.COLS-LIGNES" sheetId="14" r:id="rId2"/>
    <sheet name="CHOISIRCOLS, CHOISIRLIGNES" sheetId="13" r:id="rId3"/>
    <sheet name="ASSEMB.V, ASSEMB.H" sheetId="12" r:id="rId4"/>
    <sheet name="FILTRE, UNIQUE, TRIER" sheetId="11" r:id="rId5"/>
    <sheet name="Extraire ou combiner du texte" sheetId="15" r:id="rId6"/>
    <sheet name="RECHERCHEX" sheetId="2" r:id="rId7"/>
    <sheet name="GROUPER.PAR, PIVOTER.PAR" sheetId="17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90" i="11" l="1" a="1"/>
  <c r="K90" i="11" s="1"/>
  <c r="J37" i="14" a="1"/>
  <c r="J37" i="14" s="1"/>
  <c r="J31" i="14" a="1"/>
  <c r="J31" i="14" s="1"/>
  <c r="I44" i="17" a="1"/>
  <c r="I44" i="17" s="1"/>
  <c r="I60" i="17" a="1"/>
  <c r="I60" i="17" s="1"/>
  <c r="I32" i="17" a="1"/>
  <c r="I32" i="17" s="1"/>
  <c r="F39" i="15" l="1" a="1"/>
  <c r="F39" i="15" s="1"/>
  <c r="E32" i="15"/>
  <c r="E17" i="15" a="1"/>
  <c r="E17" i="15" s="1"/>
  <c r="E18" i="15" a="1"/>
  <c r="E18" i="15" s="1"/>
  <c r="E19" i="15" a="1"/>
  <c r="E19" i="15" s="1"/>
  <c r="E20" i="15" a="1"/>
  <c r="E20" i="15" s="1"/>
  <c r="E16" i="15" a="1"/>
  <c r="E16" i="15" s="1"/>
  <c r="F6" i="15"/>
  <c r="F7" i="15"/>
  <c r="F8" i="15"/>
  <c r="F9" i="15"/>
  <c r="F10" i="15"/>
  <c r="D6" i="15"/>
  <c r="D7" i="15"/>
  <c r="D8" i="15"/>
  <c r="D9" i="15"/>
  <c r="D10" i="15"/>
  <c r="J13" i="14" l="1" a="1"/>
  <c r="J13" i="14" s="1"/>
  <c r="J24" i="14" a="1"/>
  <c r="J24" i="14" s="1"/>
  <c r="J26" i="13" a="1"/>
  <c r="J26" i="13" s="1"/>
  <c r="M45" i="13" a="1"/>
  <c r="M45" i="13" s="1"/>
  <c r="J73" i="13" a="1"/>
  <c r="J73" i="13" s="1"/>
  <c r="H6" i="11"/>
  <c r="H7" i="11"/>
  <c r="H8" i="11"/>
  <c r="H9" i="11"/>
  <c r="H10" i="11"/>
  <c r="H11" i="11"/>
  <c r="H12" i="11"/>
  <c r="H13" i="11"/>
  <c r="H14" i="11"/>
  <c r="H15" i="11"/>
  <c r="H16" i="11"/>
  <c r="H17" i="11"/>
  <c r="H18" i="11"/>
  <c r="H19" i="11"/>
  <c r="H20" i="11"/>
  <c r="H21" i="11"/>
  <c r="H22" i="11"/>
  <c r="H23" i="11"/>
  <c r="H24" i="11"/>
  <c r="H25" i="11"/>
  <c r="H26" i="11"/>
  <c r="H27" i="11"/>
  <c r="H28" i="11"/>
  <c r="H29" i="11"/>
  <c r="K33" i="12" a="1"/>
  <c r="K33" i="12" s="1"/>
  <c r="K14" i="12" a="1"/>
  <c r="K14" i="12" s="1"/>
  <c r="G52" i="2" a="1"/>
  <c r="G52" i="2" s="1"/>
  <c r="G47" i="2" a="1"/>
  <c r="G47" i="2" s="1"/>
  <c r="K52" i="11" a="1"/>
  <c r="K52" i="11" s="1"/>
  <c r="K45" i="11" a="1"/>
  <c r="K45" i="11" s="1"/>
  <c r="G23" i="2"/>
  <c r="G7" i="2"/>
  <c r="G11" i="2"/>
  <c r="G15" i="2"/>
  <c r="D41" i="2"/>
  <c r="D40" i="2"/>
  <c r="D39" i="2"/>
  <c r="D38" i="2"/>
  <c r="D37" i="2"/>
  <c r="D36" i="2"/>
  <c r="D35" i="2"/>
  <c r="D34" i="2"/>
  <c r="D33" i="2"/>
  <c r="D32" i="2"/>
  <c r="D31" i="2"/>
  <c r="L52" i="11" l="1" a="1"/>
  <c r="L52" i="11" s="1"/>
  <c r="J65" i="13" a="1"/>
  <c r="J65" i="13" s="1"/>
  <c r="J45" i="13" a="1"/>
  <c r="J45" i="13" s="1"/>
  <c r="K35" i="11" a="1"/>
  <c r="K35" i="11" s="1"/>
  <c r="K61" i="11" a="1"/>
  <c r="K61" i="11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<sst xmlns="http://schemas.openxmlformats.org/spreadsheetml/2006/main" count="540" uniqueCount="265">
  <si>
    <t>Catégorie</t>
  </si>
  <si>
    <t>ID Client</t>
  </si>
  <si>
    <t>Nom</t>
  </si>
  <si>
    <t>Ville</t>
  </si>
  <si>
    <t>C001</t>
  </si>
  <si>
    <t>Atelier Fontaine</t>
  </si>
  <si>
    <t>Metz</t>
  </si>
  <si>
    <t>C002</t>
  </si>
  <si>
    <t>Groupe Haddad</t>
  </si>
  <si>
    <t>Nancy</t>
  </si>
  <si>
    <t>C003</t>
  </si>
  <si>
    <t>Dubois &amp; Fils</t>
  </si>
  <si>
    <t>Strasbourg</t>
  </si>
  <si>
    <t>C004</t>
  </si>
  <si>
    <t>Bernard Consulting</t>
  </si>
  <si>
    <t>Reims</t>
  </si>
  <si>
    <t>C005</t>
  </si>
  <si>
    <t>Morel Industrie</t>
  </si>
  <si>
    <t>Thionville</t>
  </si>
  <si>
    <t>C006</t>
  </si>
  <si>
    <t>Lefèvre SARL</t>
  </si>
  <si>
    <t>Épinal</t>
  </si>
  <si>
    <t>C007</t>
  </si>
  <si>
    <t>Girard Technologies</t>
  </si>
  <si>
    <t>Paris</t>
  </si>
  <si>
    <t>C008</t>
  </si>
  <si>
    <t>Roux Distribution</t>
  </si>
  <si>
    <t>Lyon</t>
  </si>
  <si>
    <t>C009</t>
  </si>
  <si>
    <t>Simon &amp; Associés</t>
  </si>
  <si>
    <t>C010</t>
  </si>
  <si>
    <t>Petit Négoce</t>
  </si>
  <si>
    <t>Taux de remise</t>
  </si>
  <si>
    <t>N°</t>
  </si>
  <si>
    <t>Date</t>
  </si>
  <si>
    <t>Vendeur</t>
  </si>
  <si>
    <t>Région</t>
  </si>
  <si>
    <t>Produit</t>
  </si>
  <si>
    <t>Quantité</t>
  </si>
  <si>
    <t>Camille Dubois</t>
  </si>
  <si>
    <t>Nord</t>
  </si>
  <si>
    <t>Bureautique</t>
  </si>
  <si>
    <t>Ramette papier A4</t>
  </si>
  <si>
    <t>Karim Haddad</t>
  </si>
  <si>
    <t>Sud</t>
  </si>
  <si>
    <t>Cartouche encre</t>
  </si>
  <si>
    <t>Léa Fontaine</t>
  </si>
  <si>
    <t>Est</t>
  </si>
  <si>
    <t>Classeur A4</t>
  </si>
  <si>
    <t>Julien Morel</t>
  </si>
  <si>
    <t>Ouest</t>
  </si>
  <si>
    <t>Agrafeuse</t>
  </si>
  <si>
    <t>Sophie Bernard</t>
  </si>
  <si>
    <t>Mobilier</t>
  </si>
  <si>
    <t>Bureau réglable</t>
  </si>
  <si>
    <t>Chaise ergonomique</t>
  </si>
  <si>
    <t>Caisson à roulettes</t>
  </si>
  <si>
    <t>Armoire basse</t>
  </si>
  <si>
    <t>Informatique</t>
  </si>
  <si>
    <t>Écran 24 pouces</t>
  </si>
  <si>
    <t>Clavier sans fil</t>
  </si>
  <si>
    <t>Souris optique</t>
  </si>
  <si>
    <t>Casque USB</t>
  </si>
  <si>
    <t>Fournitures</t>
  </si>
  <si>
    <t>Stylos (boîte de 10)</t>
  </si>
  <si>
    <t>Post-it</t>
  </si>
  <si>
    <t>Surligneurs</t>
  </si>
  <si>
    <t>Trombones (boîte)</t>
  </si>
  <si>
    <t>Nicolas Simon</t>
  </si>
  <si>
    <t>Amandine Roux</t>
  </si>
  <si>
    <t>Thibaut Girard</t>
  </si>
  <si>
    <t>Prénom</t>
  </si>
  <si>
    <t>Dubois</t>
  </si>
  <si>
    <t>Camille</t>
  </si>
  <si>
    <t>Haddad</t>
  </si>
  <si>
    <t>Karim</t>
  </si>
  <si>
    <t>Fontaine</t>
  </si>
  <si>
    <t>Léa</t>
  </si>
  <si>
    <t>Morel</t>
  </si>
  <si>
    <t>Julien</t>
  </si>
  <si>
    <t>Téléphone</t>
  </si>
  <si>
    <t>03 87 00 00 01</t>
  </si>
  <si>
    <t>03 83 00 00 02</t>
  </si>
  <si>
    <t>03 88 00 00 03</t>
  </si>
  <si>
    <t>03 26 00 00 04</t>
  </si>
  <si>
    <t>Montant</t>
  </si>
  <si>
    <t>Objectifs détaillés de l'exercice</t>
  </si>
  <si>
    <t>-</t>
  </si>
  <si>
    <t>Rapatrier des informations avec RECHERCHEX</t>
  </si>
  <si>
    <t>Extraire des données d'une base avec FILTRE, UNIQUE et TRIER</t>
  </si>
  <si>
    <t>Empiler plusieurs plages pour former un tableau avec ASSEMB.V et ASSEMB.H</t>
  </si>
  <si>
    <t>Extraire des lignes ou des colonnes d'un tableau avec CHOISIRCOLS et CHOISIRLIGNES</t>
  </si>
  <si>
    <t>Construire un tableau croisé dynamique avec une formule dynamique (GROUPER.PAR et PIVOTER.PAR)</t>
  </si>
  <si>
    <t>Prix unitaire</t>
  </si>
  <si>
    <t>Nom du client</t>
  </si>
  <si>
    <t>Corrigé</t>
  </si>
  <si>
    <t>Exercice</t>
  </si>
  <si>
    <t>Morpheus Formation</t>
  </si>
  <si>
    <t>Âge</t>
  </si>
  <si>
    <t>Tranche d'âge</t>
  </si>
  <si>
    <t>Tranche</t>
  </si>
  <si>
    <t>0-14 ans</t>
  </si>
  <si>
    <t>15-24 ans</t>
  </si>
  <si>
    <t>25-34 ans</t>
  </si>
  <si>
    <t>35-44 ans</t>
  </si>
  <si>
    <t>45-54 ans</t>
  </si>
  <si>
    <t>55-64 ans</t>
  </si>
  <si>
    <t>Plus de 65 ans</t>
  </si>
  <si>
    <t>ID client</t>
  </si>
  <si>
    <t>ID client (renvoyer "Inconnu" si non trouvé)</t>
  </si>
  <si>
    <t>Quantité MIN</t>
  </si>
  <si>
    <t>Fournisseur</t>
  </si>
  <si>
    <t>F-001</t>
  </si>
  <si>
    <t>Metro France</t>
  </si>
  <si>
    <t>Nanterre</t>
  </si>
  <si>
    <t>F-002</t>
  </si>
  <si>
    <t>Rexel</t>
  </si>
  <si>
    <t>F-003</t>
  </si>
  <si>
    <t>Manutan</t>
  </si>
  <si>
    <t>Gonesse</t>
  </si>
  <si>
    <t>F-004</t>
  </si>
  <si>
    <t>Saint-Gobain</t>
  </si>
  <si>
    <t>Courbevoie</t>
  </si>
  <si>
    <t>F-005</t>
  </si>
  <si>
    <t>Legrand</t>
  </si>
  <si>
    <t>Limoges</t>
  </si>
  <si>
    <t>F-006</t>
  </si>
  <si>
    <t>Lyreco France</t>
  </si>
  <si>
    <t>Marly</t>
  </si>
  <si>
    <t>F-007</t>
  </si>
  <si>
    <t>Schneider Electric</t>
  </si>
  <si>
    <t>Rueil-Malmaison</t>
  </si>
  <si>
    <t>F-008</t>
  </si>
  <si>
    <t>Rubix France</t>
  </si>
  <si>
    <t>F-009</t>
  </si>
  <si>
    <t>Sonepar France</t>
  </si>
  <si>
    <t>F-010</t>
  </si>
  <si>
    <t>Descours &amp; Cabaud</t>
  </si>
  <si>
    <t>ID fournisseur</t>
  </si>
  <si>
    <t>Table "Identités"</t>
  </si>
  <si>
    <t>Table "Coordonnées"</t>
  </si>
  <si>
    <t>Table "Ventes_Nord"</t>
  </si>
  <si>
    <t>Table "Ventes_Sud"</t>
  </si>
  <si>
    <t>Sexe</t>
  </si>
  <si>
    <t>Femme</t>
  </si>
  <si>
    <t>Homme</t>
  </si>
  <si>
    <t>Exercice 2 - Avec la fonction ASSEMB.H, fusionner horizontalement les tables Identité et Coordonnées.</t>
  </si>
  <si>
    <t>Exercice 1 - Comprendre l'utilisation de la fonction RECHERCHEX.</t>
  </si>
  <si>
    <t>Consigne générale</t>
  </si>
  <si>
    <t>Acheteur</t>
  </si>
  <si>
    <t>Exercice 3 - Renvoyer la tranche qui correspond à chaque âge.</t>
  </si>
  <si>
    <t>Exercice 4 - Renvoyer le nom et la ville du fournisseur sous la forme d'une plage dynamique avec RECHERCHEX et TRANSPOSE.</t>
  </si>
  <si>
    <t>Autre option</t>
  </si>
  <si>
    <t>Catégories</t>
  </si>
  <si>
    <t>Total ventes</t>
  </si>
  <si>
    <t>Comprendre et utiliser le signe # dans les formules propagées</t>
  </si>
  <si>
    <t>Exercice 1 - Avec la fonction FILTRE, renvoyer uniquement les lignes correspondant à la région "Nord".</t>
  </si>
  <si>
    <t>Exercice 2 - Avec la fonction FILTRE, renvoyer les ventes de la région "Nord" ET de la catégorie "Informatique".</t>
  </si>
  <si>
    <t>Exercice 4 - Avec la fonction TRIER, trier la table Ventes par "Montant" décroissant.</t>
  </si>
  <si>
    <t>Exercice 3 - Avec la fonction UNIQUE, renvoyer la liste des catégories uniques. Calculer ensuite le total des ventes avec SOMME.SI.ENS et le signe #.</t>
  </si>
  <si>
    <t>Exercice 3 - Avec la fonction CHOISIRLIGNES, renvoyer la première et la dernière ligne de données de la table Ventes.</t>
  </si>
  <si>
    <t>Exercice 4 - Utiliser EQUIVX pour repérer la position de la colonne renseignée, puis CHOISIRCOLS pour l'extraire.</t>
  </si>
  <si>
    <t>Exercice 2 - Avec la fonction CHOISIRCOLS, renvoyer uniquement les colonnes Produit et Montant (dans cet ordre) de la table Achats.</t>
  </si>
  <si>
    <t>Exercice 1 - Avec la fonction CHOISIRCOLS, renvoyer uniquement les colonnes Acheteur, Région et Produit (dans cet ordre) de la table Achats.</t>
  </si>
  <si>
    <t>Le tableau structuré suivant est nommé "Achats" et sera utilisé pour toutes les questions.</t>
  </si>
  <si>
    <t>Le tableau structuré suivant est nommé "Ventes" et sera utilisé pour toutes les questions.</t>
  </si>
  <si>
    <t>La plage contenant les nombres (B5:C7) est appelée "Matrice" dans les questions suivantes.</t>
  </si>
  <si>
    <t>Exercice 1 - Avec la fonction DANSCOL, transformer la table Matrice en une seule colonne.</t>
  </si>
  <si>
    <t>Aplatir ou reconstituer des tableaux avec les fonctions DANSCOL, DANSLIGNE, ORGA.COLS et ORGA.LIGNES</t>
  </si>
  <si>
    <t>Avec ORGA.COLS</t>
  </si>
  <si>
    <t>Avec ORGA.LIGNES</t>
  </si>
  <si>
    <t>Exercice 3 - À partir du résultat de l'exercice 1, reconstituer une grille de 2 colonnes sur 3 lignes avec ORGA.COLS, puis avec ORGA.LIGNES.</t>
  </si>
  <si>
    <t>Exercice 1 - Avec la fonction ASSEMB.V, empiler verticalement les tables Ventes_Nord et Ventes_Sud pour former un seul tableau.</t>
  </si>
  <si>
    <t>Saisir la formule dans les cellules avec ce fond jaune :</t>
  </si>
  <si>
    <t>Comprendre et maîtriser les nouvelles fonctions Excel</t>
  </si>
  <si>
    <t>Exercice 2 - Avec la fonction DANSLIGNE, transformer la table Matrice en une seule ligne.</t>
  </si>
  <si>
    <t>Extraire ou combiner du texte avec TEXTE.AVANT, TEXTE.APRES, FRACTIONNER.TEXTE et JOINDRE.TEXTE</t>
  </si>
  <si>
    <t>hello@neobi-formation.fr</t>
  </si>
  <si>
    <t>contact@morpheus-formation.fr</t>
  </si>
  <si>
    <t>support@morpheus-formation.fr</t>
  </si>
  <si>
    <t>hello@genia-academie.fr</t>
  </si>
  <si>
    <t>contact@formateur-excel.fr</t>
  </si>
  <si>
    <t>Nom de domaine</t>
  </si>
  <si>
    <t>Nom d'utilisateur</t>
  </si>
  <si>
    <t>Adresse e-mail</t>
  </si>
  <si>
    <t>Exercice 1 - Renvoyer le nom d'utilisateur et le nom de domaine pour chaque adresse e-mail avec TEXTE.AVANT et TEXTE.APRES.</t>
  </si>
  <si>
    <r>
      <rPr>
        <b/>
        <i/>
        <sz val="11"/>
        <color theme="1"/>
        <rFont val="Calibri"/>
        <family val="2"/>
      </rPr>
      <t xml:space="preserve">Cas d'usage </t>
    </r>
    <r>
      <rPr>
        <i/>
        <sz val="11"/>
        <color theme="1"/>
        <rFont val="Calibri"/>
        <family val="2"/>
      </rPr>
      <t>: remettre à plat un tableau multi-colonnes pour l'importer dans un autre système ou l'utiliser dans un TCD.</t>
    </r>
  </si>
  <si>
    <r>
      <rPr>
        <b/>
        <i/>
        <sz val="11"/>
        <color theme="1"/>
        <rFont val="Calibri"/>
        <family val="2"/>
      </rPr>
      <t xml:space="preserve">Cas d'usage </t>
    </r>
    <r>
      <rPr>
        <i/>
        <sz val="11"/>
        <color theme="1"/>
        <rFont val="Calibri"/>
        <family val="2"/>
      </rPr>
      <t>: préparer une série de valeurs à coller horizontalement, par exemple pour un en-tête ou une légende de graphique.</t>
    </r>
  </si>
  <si>
    <r>
      <rPr>
        <b/>
        <i/>
        <sz val="11"/>
        <color theme="1"/>
        <rFont val="Calibri"/>
        <family val="2"/>
      </rPr>
      <t xml:space="preserve">Cas d'usage </t>
    </r>
    <r>
      <rPr>
        <i/>
        <sz val="11"/>
        <color theme="1"/>
        <rFont val="Calibri"/>
        <family val="2"/>
      </rPr>
      <t>: vous recevez souvent une liste à plat (un export, une colonne unique de 12 valeurs mensuelles par exemple) que vous devez présenter en grille pour un rapport.</t>
    </r>
  </si>
  <si>
    <r>
      <rPr>
        <b/>
        <i/>
        <sz val="11"/>
        <color theme="1"/>
        <rFont val="Calibri"/>
        <family val="2"/>
        <scheme val="minor"/>
      </rPr>
      <t xml:space="preserve"> Cas d'usage </t>
    </r>
    <r>
      <rPr>
        <i/>
        <sz val="11"/>
        <color theme="1"/>
        <rFont val="Calibri"/>
        <family val="2"/>
        <scheme val="minor"/>
      </rPr>
      <t>: construire un extrait allégé d'un grand tableau pour un envoi ou un graphique, sans dupliquer toutes les colonnes.</t>
    </r>
  </si>
  <si>
    <r>
      <rPr>
        <b/>
        <i/>
        <sz val="11"/>
        <color theme="1"/>
        <rFont val="Calibri"/>
        <family val="2"/>
        <scheme val="minor"/>
      </rPr>
      <t xml:space="preserve">Cas d'usage </t>
    </r>
    <r>
      <rPr>
        <i/>
        <sz val="11"/>
        <color theme="1"/>
        <rFont val="Calibri"/>
        <family val="2"/>
        <scheme val="minor"/>
      </rPr>
      <t>: comparer rapidement la toute première et la toute dernière vente enregistrée, sans faire défiler tout le tableau.</t>
    </r>
  </si>
  <si>
    <r>
      <rPr>
        <b/>
        <i/>
        <sz val="11"/>
        <color theme="1"/>
        <rFont val="Calibri"/>
        <family val="2"/>
        <scheme val="minor"/>
      </rPr>
      <t xml:space="preserve">Cas d'usage </t>
    </r>
    <r>
      <rPr>
        <i/>
        <sz val="11"/>
        <color theme="1"/>
        <rFont val="Calibri"/>
        <family val="2"/>
        <scheme val="minor"/>
      </rPr>
      <t>: les formules continuent de fonctionner même si la structure du tableau change.</t>
    </r>
  </si>
  <si>
    <r>
      <t xml:space="preserve">Cas d'usage </t>
    </r>
    <r>
      <rPr>
        <i/>
        <sz val="11"/>
        <color theme="1"/>
        <rFont val="Calibri"/>
        <family val="2"/>
        <scheme val="minor"/>
      </rPr>
      <t>: fusionner deux exports mensuels ou deux fichiers régionaux sans copier-coller.</t>
    </r>
  </si>
  <si>
    <r>
      <t xml:space="preserve">Remarque </t>
    </r>
    <r>
      <rPr>
        <i/>
        <sz val="11"/>
        <color theme="1"/>
        <rFont val="Calibri"/>
        <family val="2"/>
        <scheme val="minor"/>
      </rPr>
      <t>: les deux tables doivent avoir leurs colonnes dans le même ordre pour éviter les mélanges de données.</t>
    </r>
  </si>
  <si>
    <r>
      <t xml:space="preserve">Cas d'usage </t>
    </r>
    <r>
      <rPr>
        <i/>
        <sz val="11"/>
        <color theme="1"/>
        <rFont val="Calibri"/>
        <family val="2"/>
        <scheme val="minor"/>
      </rPr>
      <t>: recoller deux exports qui partagent les mêmes lignes mais pas les mêmes colonnes (ex. RH + annuaire).</t>
    </r>
  </si>
  <si>
    <r>
      <t xml:space="preserve">Remarque </t>
    </r>
    <r>
      <rPr>
        <i/>
        <sz val="11"/>
        <color theme="1"/>
        <rFont val="Calibri"/>
        <family val="2"/>
        <scheme val="minor"/>
      </rPr>
      <t>: les deux tables doivent avoir les lignes dans le même ordre pour éviter les erreurs de correspondance.</t>
    </r>
  </si>
  <si>
    <r>
      <rPr>
        <b/>
        <i/>
        <sz val="11"/>
        <color theme="1"/>
        <rFont val="Calibri"/>
        <family val="2"/>
        <scheme val="minor"/>
      </rPr>
      <t>Cas d'usage</t>
    </r>
    <r>
      <rPr>
        <i/>
        <sz val="11"/>
        <color theme="1"/>
        <rFont val="Calibri"/>
        <family val="2"/>
        <scheme val="minor"/>
      </rPr>
      <t xml:space="preserve"> : isoler les ventes d'un secteur sans toucher au tableau source.</t>
    </r>
  </si>
  <si>
    <r>
      <rPr>
        <b/>
        <i/>
        <sz val="11"/>
        <color theme="1"/>
        <rFont val="Calibri"/>
        <family val="2"/>
        <scheme val="minor"/>
      </rPr>
      <t xml:space="preserve"> Cas d'usage</t>
    </r>
    <r>
      <rPr>
        <i/>
        <sz val="11"/>
        <color theme="1"/>
        <rFont val="Calibri"/>
        <family val="2"/>
        <scheme val="minor"/>
      </rPr>
      <t xml:space="preserve"> : alimenter une liste déroulante de filtres sans doublons et automatiser un calcul (pour remplacer un TCD par exemple).</t>
    </r>
  </si>
  <si>
    <r>
      <rPr>
        <b/>
        <i/>
        <sz val="11"/>
        <color theme="1"/>
        <rFont val="Calibri"/>
        <family val="2"/>
        <scheme val="minor"/>
      </rPr>
      <t>Cas d'usage</t>
    </r>
    <r>
      <rPr>
        <i/>
        <sz val="11"/>
        <color theme="1"/>
        <rFont val="Calibri"/>
        <family val="2"/>
        <scheme val="minor"/>
      </rPr>
      <t xml:space="preserve"> : faire ressortir les plus grosses ventes en tête de liste, sans trier manuellement.</t>
    </r>
  </si>
  <si>
    <r>
      <rPr>
        <b/>
        <i/>
        <sz val="11"/>
        <color theme="1"/>
        <rFont val="Calibri"/>
        <family val="2"/>
        <scheme val="minor"/>
      </rPr>
      <t>Remarque</t>
    </r>
    <r>
      <rPr>
        <i/>
        <sz val="11"/>
        <color theme="1"/>
        <rFont val="Calibri"/>
        <family val="2"/>
        <scheme val="minor"/>
      </rPr>
      <t xml:space="preserve"> : vous pouvez utiliser TRIERPAR pour trier une plage en fonction d’une autre sans intégrer cette dernière dans le tableau renvoyé.</t>
    </r>
  </si>
  <si>
    <t>Nom de domaine (corrigé)</t>
  </si>
  <si>
    <t>Nom d'utilisateur (corrigé)</t>
  </si>
  <si>
    <t>Exercice 2 - Séparer le nom d'utilisateur et le nom de domaine avec une seule fonction : FRACTIONNER.TEXTE.</t>
  </si>
  <si>
    <t>Champ</t>
  </si>
  <si>
    <t>Valeur</t>
  </si>
  <si>
    <t>Rue</t>
  </si>
  <si>
    <t>12 rue des Lilas</t>
  </si>
  <si>
    <t>Complément</t>
  </si>
  <si>
    <t>Code postal</t>
  </si>
  <si>
    <t>Adresse complète</t>
  </si>
  <si>
    <t>Exercice 2 - Trouver le taux de remise applicable en fonction de la quantité commandée.</t>
  </si>
  <si>
    <t>ID facture</t>
  </si>
  <si>
    <t>Statut</t>
  </si>
  <si>
    <t>Non payée</t>
  </si>
  <si>
    <t>Payée</t>
  </si>
  <si>
    <t>Exercice 4 - Renvoyer la liste des factures non payées avec FILTRE, puis joindre les résultats dans une seule cellule avec JOINDRE.TEXTE (utiliser la virgule comme séparateur).</t>
  </si>
  <si>
    <t>Exercice 3 - Combiner les valeurs pour former une adresse complète avec JOINDRE.TEXTE (utiliser la virgule comme séparateur et ignorer les champs vides).</t>
  </si>
  <si>
    <t>Liste des factures non payées</t>
  </si>
  <si>
    <r>
      <rPr>
        <b/>
        <i/>
        <sz val="11"/>
        <color theme="1"/>
        <rFont val="Calibri"/>
        <family val="2"/>
        <scheme val="minor"/>
      </rPr>
      <t>Cas d'usage</t>
    </r>
    <r>
      <rPr>
        <i/>
        <sz val="11"/>
        <color theme="1"/>
        <rFont val="Calibri"/>
        <family val="2"/>
        <scheme val="minor"/>
      </rPr>
      <t xml:space="preserve"> : remplacer un tableau croisé dynamique par une formule pour dynamiser les analyses (sans cliquer sur "Actualiser les données").</t>
    </r>
  </si>
  <si>
    <t>Nom Prénom</t>
  </si>
  <si>
    <t>Département</t>
  </si>
  <si>
    <t>Poste</t>
  </si>
  <si>
    <t>Commercial</t>
  </si>
  <si>
    <t>Chargée de clientèle</t>
  </si>
  <si>
    <t>Développeur</t>
  </si>
  <si>
    <t>Marketing</t>
  </si>
  <si>
    <t>Chargée de communication</t>
  </si>
  <si>
    <t>Finance</t>
  </si>
  <si>
    <t>Comptable</t>
  </si>
  <si>
    <t>RH</t>
  </si>
  <si>
    <t>Chargée de recrutement</t>
  </si>
  <si>
    <t>Responsable des ventes</t>
  </si>
  <si>
    <t>Cheffe de projet</t>
  </si>
  <si>
    <t>Chef de produit</t>
  </si>
  <si>
    <t>Claire Petit</t>
  </si>
  <si>
    <t>Contrôleuse de gestion</t>
  </si>
  <si>
    <t>Maxime Lefèvre</t>
  </si>
  <si>
    <t>Gestionnaire paie</t>
  </si>
  <si>
    <t>Emma Girard</t>
  </si>
  <si>
    <t>Antoine Moreau</t>
  </si>
  <si>
    <t>Administrateur systèmes</t>
  </si>
  <si>
    <t>Chloé Lambert</t>
  </si>
  <si>
    <t>Community manager</t>
  </si>
  <si>
    <t>Hugo Faure</t>
  </si>
  <si>
    <t>Analyste financier</t>
  </si>
  <si>
    <t>Manon Rousseau</t>
  </si>
  <si>
    <t>Responsable RH</t>
  </si>
  <si>
    <t>Lucas Bertrand</t>
  </si>
  <si>
    <t>Chargé d'affaires</t>
  </si>
  <si>
    <t>Inès Marchand</t>
  </si>
  <si>
    <t>Développeuse</t>
  </si>
  <si>
    <t>Paul Vidal</t>
  </si>
  <si>
    <t>Chargé de communication</t>
  </si>
  <si>
    <t>Julie Renard</t>
  </si>
  <si>
    <t>Romain Blanc</t>
  </si>
  <si>
    <t>Chargé de recrutement</t>
  </si>
  <si>
    <t>Salaire annuel</t>
  </si>
  <si>
    <t>Le tableau structuré suivant est nommé "Salariés" et sera utilisé pour toutes les questions.</t>
  </si>
  <si>
    <t>Exercice 2 - Avec la fonction GROUPER.PAR, calculer le total du Salaire regroupé par Sexe et par Département.</t>
  </si>
  <si>
    <r>
      <rPr>
        <b/>
        <i/>
        <sz val="11"/>
        <color theme="1"/>
        <rFont val="Calibri"/>
        <family val="2"/>
        <scheme val="minor"/>
      </rPr>
      <t xml:space="preserve">Astuce </t>
    </r>
    <r>
      <rPr>
        <i/>
        <sz val="11"/>
        <color theme="1"/>
        <rFont val="Calibri"/>
        <family val="2"/>
        <scheme val="minor"/>
      </rPr>
      <t>: ASSEMB.H permet de combiner les deux colonnes clés en un seul argument.</t>
    </r>
  </si>
  <si>
    <t>Exercice 1 - Avec la fonction GROUPER.PAR, calculer le total du Salaire regroupé par Département (renvoyer aussi les en-têtes).</t>
  </si>
  <si>
    <r>
      <rPr>
        <b/>
        <i/>
        <sz val="11"/>
        <color theme="1"/>
        <rFont val="Calibri"/>
        <family val="2"/>
        <scheme val="minor"/>
      </rPr>
      <t xml:space="preserve">Remarque </t>
    </r>
    <r>
      <rPr>
        <i/>
        <sz val="11"/>
        <color theme="1"/>
        <rFont val="Calibri"/>
        <family val="2"/>
        <scheme val="minor"/>
      </rPr>
      <t>: PIVOTER.PAR permet de regrouper en lignes et en colonnes en même temps.</t>
    </r>
  </si>
  <si>
    <r>
      <rPr>
        <b/>
        <i/>
        <sz val="11"/>
        <color theme="1"/>
        <rFont val="Calibri"/>
        <family val="2"/>
        <scheme val="minor"/>
      </rPr>
      <t xml:space="preserve">Remarque </t>
    </r>
    <r>
      <rPr>
        <i/>
        <sz val="11"/>
        <color theme="1"/>
        <rFont val="Calibri"/>
        <family val="2"/>
        <scheme val="minor"/>
      </rPr>
      <t>: GROUPER.PAR permet de regrouper en lignes uniquement.</t>
    </r>
  </si>
  <si>
    <t>Exercice 3 - Avec la fonction PIVOTER.PAR, analyser avec la somme du Salaire annuel par Département (en lignes) et par Sexe (en colonnes).</t>
  </si>
  <si>
    <t>Exercice 5 - Avec la fonction TRIER, trier la table par "Région" (croissant), puis par "Montant" (décroissant) à l'intérieur de chaque région.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</si>
</sst>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#,##0\ \€"/>
    <numFmt numFmtId="165" formatCode="#,##0\ &quot;€&quot;"/>
    <numFmt numFmtId="166" formatCode="#,##0.00\ &quot;€&quot;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rgb="FF00518B"/>
      <name val="Calibri"/>
      <family val="2"/>
    </font>
    <font>
      <b/>
      <sz val="12"/>
      <color theme="0"/>
      <name val="Calibri"/>
      <family val="2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color theme="1"/>
      <name val="Calibri"/>
      <family val="2"/>
    </font>
    <font>
      <b/>
      <sz val="14"/>
      <color theme="0"/>
      <name val="Calibri"/>
      <family val="2"/>
    </font>
    <font>
      <b/>
      <sz val="11"/>
      <color rgb="FF00518B"/>
      <name val="Calibri"/>
      <family val="2"/>
    </font>
    <font>
      <i/>
      <sz val="11"/>
      <color theme="1"/>
      <name val="Calibri"/>
      <family val="2"/>
    </font>
    <font>
      <b/>
      <i/>
      <sz val="11"/>
      <color theme="1"/>
      <name val="Calibri"/>
      <family val="2"/>
    </font>
    <font>
      <i/>
      <sz val="11"/>
      <color theme="0"/>
      <name val="Calibri"/>
      <family val="2"/>
    </font>
    <font>
      <sz val="11"/>
      <color theme="0"/>
      <name val="Calibri"/>
      <family val="2"/>
    </font>
    <font>
      <b/>
      <sz val="11"/>
      <color theme="0"/>
      <name val="Calibri"/>
      <family val="2"/>
    </font>
    <font>
      <sz val="11"/>
      <name val="Calibri"/>
      <family val="2"/>
    </font>
    <font>
      <b/>
      <sz val="14"/>
      <color theme="0"/>
      <name val="Calibri"/>
      <family val="2"/>
      <scheme val="minor"/>
    </font>
    <font>
      <b/>
      <sz val="11"/>
      <color rgb="FF00518B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1F4E78"/>
      <name val="Calibri"/>
      <family val="2"/>
      <scheme val="minor"/>
    </font>
    <font>
      <b/>
      <i/>
      <sz val="11"/>
      <color theme="0"/>
      <name val="Calibri"/>
      <family val="2"/>
    </font>
    <font>
      <sz val="11"/>
      <color rgb="FF000000"/>
      <name val="Calibri"/>
      <family val="2"/>
      <scheme val="minor"/>
    </font>
    <font>
      <b/>
      <i/>
      <sz val="11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00518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518B"/>
      </left>
      <right/>
      <top style="medium">
        <color rgb="FF00518B"/>
      </top>
      <bottom/>
      <diagonal/>
    </border>
    <border>
      <left/>
      <right/>
      <top style="medium">
        <color rgb="FF00518B"/>
      </top>
      <bottom/>
      <diagonal/>
    </border>
    <border>
      <left/>
      <right style="medium">
        <color rgb="FF00518B"/>
      </right>
      <top style="medium">
        <color rgb="FF00518B"/>
      </top>
      <bottom/>
      <diagonal/>
    </border>
    <border>
      <left style="medium">
        <color rgb="FF00518B"/>
      </left>
      <right/>
      <top/>
      <bottom style="medium">
        <color rgb="FF00518B"/>
      </bottom>
      <diagonal/>
    </border>
    <border>
      <left/>
      <right/>
      <top/>
      <bottom style="medium">
        <color rgb="FF00518B"/>
      </bottom>
      <diagonal/>
    </border>
    <border>
      <left/>
      <right style="medium">
        <color rgb="FF00518B"/>
      </right>
      <top/>
      <bottom style="medium">
        <color rgb="FF00518B"/>
      </bottom>
      <diagonal/>
    </border>
    <border>
      <left style="medium">
        <color rgb="FF00518B"/>
      </left>
      <right/>
      <top/>
      <bottom/>
      <diagonal/>
    </border>
    <border>
      <left/>
      <right style="medium">
        <color rgb="FF00518B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518B"/>
      </bottom>
      <diagonal/>
    </border>
    <border>
      <left/>
      <right style="thin">
        <color rgb="FF00518B"/>
      </right>
      <top/>
      <bottom/>
      <diagonal/>
    </border>
    <border>
      <left/>
      <right style="thin">
        <color rgb="FF00518B"/>
      </right>
      <top/>
      <bottom style="thin">
        <color rgb="FF00518B"/>
      </bottom>
      <diagonal/>
    </border>
    <border>
      <left/>
      <right/>
      <top style="thin">
        <color rgb="FF00518B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/>
      <top/>
      <bottom/>
      <diagonal/>
    </border>
    <border>
      <left style="thin">
        <color rgb="FFBFBFBF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133">
    <xf numFmtId="0" fontId="0" fillId="0" borderId="0" xfId="0"/>
    <xf numFmtId="0" fontId="2" fillId="2" borderId="0" xfId="2" applyFont="1" applyFill="1" applyAlignment="1">
      <alignment horizontal="left" vertical="top" wrapText="1"/>
    </xf>
    <xf numFmtId="0" fontId="2" fillId="2" borderId="0" xfId="2" applyFont="1" applyFill="1" applyAlignment="1">
      <alignment horizontal="right" vertical="top" wrapText="1"/>
    </xf>
    <xf numFmtId="0" fontId="2" fillId="2" borderId="0" xfId="0" applyFont="1" applyFill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6" xfId="0" applyFont="1" applyFill="1" applyBorder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0" fontId="2" fillId="2" borderId="11" xfId="2" applyFont="1" applyFill="1" applyBorder="1" applyAlignment="1">
      <alignment horizontal="right" vertical="top" wrapText="1"/>
    </xf>
    <xf numFmtId="0" fontId="2" fillId="2" borderId="12" xfId="2" applyFont="1" applyFill="1" applyBorder="1" applyAlignment="1">
      <alignment horizontal="left" vertical="top" wrapText="1"/>
    </xf>
    <xf numFmtId="0" fontId="2" fillId="2" borderId="8" xfId="2" applyFont="1" applyFill="1" applyBorder="1" applyAlignment="1">
      <alignment horizontal="left" vertical="top" wrapText="1"/>
    </xf>
    <xf numFmtId="0" fontId="2" fillId="2" borderId="9" xfId="2" applyFont="1" applyFill="1" applyBorder="1" applyAlignment="1">
      <alignment horizontal="left" vertical="top" wrapText="1"/>
    </xf>
    <xf numFmtId="0" fontId="2" fillId="2" borderId="10" xfId="2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 wrapText="1"/>
    </xf>
    <xf numFmtId="9" fontId="0" fillId="0" borderId="0" xfId="0" applyNumberFormat="1" applyAlignment="1">
      <alignment horizontal="center" vertical="top" wrapText="1"/>
    </xf>
    <xf numFmtId="3" fontId="6" fillId="0" borderId="0" xfId="0" applyNumberFormat="1" applyFont="1" applyAlignment="1">
      <alignment horizontal="center" vertical="top" wrapText="1"/>
    </xf>
    <xf numFmtId="0" fontId="6" fillId="7" borderId="0" xfId="0" applyFont="1" applyFill="1" applyAlignment="1">
      <alignment horizontal="center" vertical="top" wrapText="1"/>
    </xf>
    <xf numFmtId="14" fontId="0" fillId="0" borderId="0" xfId="0" applyNumberFormat="1" applyAlignment="1">
      <alignment horizontal="right" vertical="top"/>
    </xf>
    <xf numFmtId="0" fontId="0" fillId="0" borderId="0" xfId="0" applyAlignment="1">
      <alignment horizontal="right" vertical="top"/>
    </xf>
    <xf numFmtId="166" fontId="0" fillId="0" borderId="0" xfId="0" applyNumberFormat="1" applyAlignment="1">
      <alignment vertical="top"/>
    </xf>
    <xf numFmtId="0" fontId="8" fillId="0" borderId="1" xfId="0" applyFont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164" fontId="0" fillId="0" borderId="0" xfId="0" applyNumberFormat="1" applyAlignment="1">
      <alignment horizontal="right" vertical="center"/>
    </xf>
    <xf numFmtId="0" fontId="2" fillId="2" borderId="11" xfId="2" applyFont="1" applyFill="1" applyBorder="1" applyAlignment="1">
      <alignment horizontal="left" vertical="top" wrapText="1"/>
    </xf>
    <xf numFmtId="0" fontId="2" fillId="5" borderId="0" xfId="2" applyFont="1" applyFill="1" applyAlignment="1">
      <alignment horizontal="left" vertical="top" wrapText="1"/>
    </xf>
    <xf numFmtId="166" fontId="0" fillId="0" borderId="0" xfId="0" applyNumberFormat="1" applyAlignment="1">
      <alignment horizontal="right" vertical="top"/>
    </xf>
    <xf numFmtId="14" fontId="0" fillId="0" borderId="0" xfId="0" applyNumberFormat="1" applyAlignment="1">
      <alignment horizontal="left" vertical="top"/>
    </xf>
    <xf numFmtId="1" fontId="0" fillId="0" borderId="0" xfId="0" applyNumberFormat="1" applyAlignment="1">
      <alignment horizontal="right" vertical="top"/>
    </xf>
    <xf numFmtId="0" fontId="10" fillId="8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16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16" fillId="6" borderId="0" xfId="0" applyFont="1" applyFill="1" applyAlignment="1">
      <alignment vertical="center" wrapText="1"/>
    </xf>
    <xf numFmtId="0" fontId="14" fillId="0" borderId="0" xfId="0" applyFont="1" applyAlignment="1">
      <alignment vertical="center" wrapText="1"/>
    </xf>
    <xf numFmtId="0" fontId="2" fillId="7" borderId="0" xfId="0" applyFont="1" applyFill="1" applyAlignment="1">
      <alignment vertical="center" wrapText="1"/>
    </xf>
    <xf numFmtId="0" fontId="14" fillId="8" borderId="0" xfId="0" applyFont="1" applyFill="1" applyAlignment="1">
      <alignment vertical="center" wrapText="1"/>
    </xf>
    <xf numFmtId="0" fontId="17" fillId="3" borderId="0" xfId="0" applyFont="1" applyFill="1" applyAlignment="1">
      <alignment vertical="center" wrapText="1"/>
    </xf>
    <xf numFmtId="0" fontId="16" fillId="3" borderId="0" xfId="0" applyFont="1" applyFill="1" applyAlignment="1">
      <alignment vertical="center" wrapText="1"/>
    </xf>
    <xf numFmtId="0" fontId="19" fillId="0" borderId="1" xfId="0" applyFont="1" applyBorder="1" applyAlignment="1">
      <alignment horizontal="right" vertical="center" wrapText="1"/>
    </xf>
    <xf numFmtId="1" fontId="19" fillId="0" borderId="1" xfId="0" applyNumberFormat="1" applyFont="1" applyBorder="1" applyAlignment="1">
      <alignment horizontal="right" vertical="top"/>
    </xf>
    <xf numFmtId="0" fontId="19" fillId="0" borderId="1" xfId="0" applyFont="1" applyBorder="1" applyAlignment="1">
      <alignment horizontal="right" vertical="top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0" xfId="0" applyAlignment="1">
      <alignment vertical="center"/>
    </xf>
    <xf numFmtId="0" fontId="9" fillId="6" borderId="0" xfId="0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0" fillId="7" borderId="0" xfId="0" applyFill="1" applyAlignment="1">
      <alignment vertical="center" wrapText="1"/>
    </xf>
    <xf numFmtId="0" fontId="8" fillId="8" borderId="0" xfId="0" applyFont="1" applyFill="1" applyAlignment="1">
      <alignment vertical="center" wrapText="1"/>
    </xf>
    <xf numFmtId="0" fontId="23" fillId="3" borderId="0" xfId="0" applyFont="1" applyFill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21" fillId="0" borderId="19" xfId="0" applyFont="1" applyBorder="1" applyAlignment="1">
      <alignment vertical="center"/>
    </xf>
    <xf numFmtId="0" fontId="24" fillId="0" borderId="19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23" fillId="3" borderId="0" xfId="0" applyFont="1" applyFill="1" applyAlignment="1">
      <alignment vertical="center" wrapText="1"/>
    </xf>
    <xf numFmtId="0" fontId="9" fillId="3" borderId="0" xfId="0" applyFont="1" applyFill="1" applyAlignment="1">
      <alignment vertical="center" wrapText="1"/>
    </xf>
    <xf numFmtId="0" fontId="21" fillId="4" borderId="17" xfId="0" applyFont="1" applyFill="1" applyBorder="1" applyAlignment="1">
      <alignment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9" fontId="10" fillId="8" borderId="1" xfId="1" applyFon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2" fillId="7" borderId="0" xfId="0" applyFont="1" applyFill="1" applyAlignment="1">
      <alignment horizontal="left" vertical="center"/>
    </xf>
    <xf numFmtId="1" fontId="2" fillId="0" borderId="0" xfId="0" applyNumberFormat="1" applyFont="1" applyAlignment="1">
      <alignment horizontal="left" vertical="center"/>
    </xf>
    <xf numFmtId="0" fontId="18" fillId="3" borderId="1" xfId="0" applyFont="1" applyFill="1" applyBorder="1" applyAlignment="1">
      <alignment vertical="center" wrapText="1"/>
    </xf>
    <xf numFmtId="0" fontId="2" fillId="7" borderId="1" xfId="0" applyFont="1" applyFill="1" applyBorder="1" applyAlignment="1">
      <alignment vertical="center" wrapText="1"/>
    </xf>
    <xf numFmtId="0" fontId="14" fillId="6" borderId="0" xfId="0" applyFont="1" applyFill="1" applyAlignment="1">
      <alignment horizontal="left" vertical="center" wrapText="1"/>
    </xf>
    <xf numFmtId="0" fontId="14" fillId="8" borderId="0" xfId="0" applyFont="1" applyFill="1" applyAlignment="1">
      <alignment horizontal="left" vertical="center"/>
    </xf>
    <xf numFmtId="0" fontId="14" fillId="8" borderId="0" xfId="0" applyFont="1" applyFill="1" applyAlignment="1">
      <alignment horizontal="left" vertical="center" wrapText="1"/>
    </xf>
    <xf numFmtId="0" fontId="14" fillId="8" borderId="1" xfId="0" applyFont="1" applyFill="1" applyBorder="1" applyAlignment="1">
      <alignment vertical="center" wrapText="1"/>
    </xf>
    <xf numFmtId="0" fontId="18" fillId="3" borderId="13" xfId="0" applyFont="1" applyFill="1" applyBorder="1" applyAlignment="1">
      <alignment horizontal="center" vertical="center" wrapText="1"/>
    </xf>
    <xf numFmtId="0" fontId="18" fillId="3" borderId="2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8" fillId="3" borderId="2" xfId="0" applyFont="1" applyFill="1" applyBorder="1" applyAlignment="1">
      <alignment vertical="center" wrapText="1"/>
    </xf>
    <xf numFmtId="0" fontId="18" fillId="3" borderId="3" xfId="0" applyFont="1" applyFill="1" applyBorder="1" applyAlignment="1">
      <alignment vertical="center" wrapText="1"/>
    </xf>
    <xf numFmtId="0" fontId="25" fillId="6" borderId="3" xfId="0" applyFont="1" applyFill="1" applyBorder="1" applyAlignment="1">
      <alignment vertical="center" wrapText="1"/>
    </xf>
    <xf numFmtId="0" fontId="25" fillId="6" borderId="4" xfId="0" applyFont="1" applyFill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7" borderId="3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4" fillId="8" borderId="3" xfId="0" applyFont="1" applyFill="1" applyBorder="1" applyAlignment="1">
      <alignment vertical="center" wrapText="1"/>
    </xf>
    <xf numFmtId="0" fontId="14" fillId="0" borderId="4" xfId="0" applyFont="1" applyBorder="1" applyAlignment="1">
      <alignment vertical="center" wrapText="1"/>
    </xf>
    <xf numFmtId="0" fontId="26" fillId="0" borderId="22" xfId="0" applyFont="1" applyBorder="1" applyAlignment="1">
      <alignment vertical="center" wrapText="1"/>
    </xf>
    <xf numFmtId="0" fontId="25" fillId="6" borderId="1" xfId="0" applyFont="1" applyFill="1" applyBorder="1" applyAlignment="1">
      <alignment vertical="center" wrapText="1"/>
    </xf>
    <xf numFmtId="165" fontId="0" fillId="0" borderId="0" xfId="0" applyNumberFormat="1" applyAlignment="1">
      <alignment vertical="top"/>
    </xf>
    <xf numFmtId="0" fontId="27" fillId="6" borderId="1" xfId="0" applyFont="1" applyFill="1" applyBorder="1" applyAlignment="1">
      <alignment horizontal="left" vertical="center" wrapText="1"/>
    </xf>
    <xf numFmtId="0" fontId="10" fillId="8" borderId="0" xfId="0" applyFont="1" applyFill="1" applyAlignment="1">
      <alignment horizontal="center" vertical="top" wrapText="1"/>
    </xf>
    <xf numFmtId="0" fontId="3" fillId="4" borderId="5" xfId="2" applyFont="1" applyFill="1" applyBorder="1" applyAlignment="1">
      <alignment horizontal="center" vertical="center" wrapText="1"/>
    </xf>
    <xf numFmtId="0" fontId="3" fillId="4" borderId="6" xfId="2" applyFont="1" applyFill="1" applyBorder="1" applyAlignment="1">
      <alignment horizontal="center" vertical="center" wrapText="1"/>
    </xf>
    <xf numFmtId="0" fontId="3" fillId="4" borderId="7" xfId="2" applyFont="1" applyFill="1" applyBorder="1" applyAlignment="1">
      <alignment horizontal="center" vertical="center" wrapText="1"/>
    </xf>
    <xf numFmtId="0" fontId="3" fillId="4" borderId="8" xfId="2" applyFont="1" applyFill="1" applyBorder="1" applyAlignment="1">
      <alignment horizontal="center" vertical="center" wrapText="1"/>
    </xf>
    <xf numFmtId="0" fontId="3" fillId="4" borderId="9" xfId="2" applyFont="1" applyFill="1" applyBorder="1" applyAlignment="1">
      <alignment horizontal="center" vertical="center" wrapText="1"/>
    </xf>
    <xf numFmtId="0" fontId="3" fillId="4" borderId="10" xfId="2" applyFont="1" applyFill="1" applyBorder="1" applyAlignment="1">
      <alignment horizontal="center" vertical="center" wrapText="1"/>
    </xf>
    <xf numFmtId="0" fontId="4" fillId="3" borderId="5" xfId="2" applyFont="1" applyFill="1" applyBorder="1" applyAlignment="1">
      <alignment horizontal="center" vertical="center" wrapText="1"/>
    </xf>
    <xf numFmtId="0" fontId="4" fillId="3" borderId="6" xfId="2" applyFont="1" applyFill="1" applyBorder="1" applyAlignment="1">
      <alignment horizontal="center" vertical="center" wrapText="1"/>
    </xf>
    <xf numFmtId="0" fontId="4" fillId="3" borderId="7" xfId="2" applyFont="1" applyFill="1" applyBorder="1" applyAlignment="1">
      <alignment horizontal="center" vertical="center" wrapText="1"/>
    </xf>
    <xf numFmtId="0" fontId="4" fillId="3" borderId="8" xfId="2" applyFont="1" applyFill="1" applyBorder="1" applyAlignment="1">
      <alignment horizontal="center" vertical="center" wrapText="1"/>
    </xf>
    <xf numFmtId="0" fontId="4" fillId="3" borderId="9" xfId="2" applyFont="1" applyFill="1" applyBorder="1" applyAlignment="1">
      <alignment horizontal="center" vertical="center" wrapText="1"/>
    </xf>
    <xf numFmtId="0" fontId="4" fillId="3" borderId="10" xfId="2" applyFont="1" applyFill="1" applyBorder="1" applyAlignment="1">
      <alignment horizontal="center" vertical="center" wrapText="1"/>
    </xf>
    <xf numFmtId="0" fontId="14" fillId="8" borderId="18" xfId="0" applyFont="1" applyFill="1" applyBorder="1" applyAlignment="1">
      <alignment horizontal="left" vertical="top" wrapText="1"/>
    </xf>
    <xf numFmtId="0" fontId="12" fillId="3" borderId="0" xfId="0" applyFont="1" applyFill="1" applyAlignment="1">
      <alignment horizontal="left" vertical="center" wrapText="1"/>
    </xf>
    <xf numFmtId="0" fontId="13" fillId="0" borderId="15" xfId="0" applyFont="1" applyBorder="1" applyAlignment="1">
      <alignment horizontal="left" vertical="center"/>
    </xf>
    <xf numFmtId="0" fontId="13" fillId="0" borderId="17" xfId="0" applyFont="1" applyBorder="1" applyAlignment="1">
      <alignment horizontal="left" vertical="center"/>
    </xf>
    <xf numFmtId="0" fontId="13" fillId="0" borderId="15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0" fontId="8" fillId="8" borderId="18" xfId="0" applyFont="1" applyFill="1" applyBorder="1" applyAlignment="1">
      <alignment horizontal="left" vertical="top" wrapText="1"/>
    </xf>
    <xf numFmtId="0" fontId="21" fillId="0" borderId="15" xfId="0" applyFont="1" applyBorder="1" applyAlignment="1">
      <alignment horizontal="left" vertical="center" wrapText="1"/>
    </xf>
    <xf numFmtId="0" fontId="21" fillId="0" borderId="17" xfId="0" applyFont="1" applyBorder="1" applyAlignment="1">
      <alignment horizontal="left" vertical="center" wrapText="1"/>
    </xf>
    <xf numFmtId="0" fontId="20" fillId="3" borderId="0" xfId="0" applyFont="1" applyFill="1" applyAlignment="1">
      <alignment horizontal="left" vertical="center" wrapText="1"/>
    </xf>
    <xf numFmtId="0" fontId="21" fillId="0" borderId="15" xfId="0" applyFont="1" applyBorder="1" applyAlignment="1">
      <alignment horizontal="left" vertical="center"/>
    </xf>
    <xf numFmtId="0" fontId="21" fillId="0" borderId="17" xfId="0" applyFont="1" applyBorder="1" applyAlignment="1">
      <alignment horizontal="left" vertical="center"/>
    </xf>
    <xf numFmtId="0" fontId="22" fillId="8" borderId="0" xfId="0" applyFont="1" applyFill="1" applyAlignment="1">
      <alignment horizontal="left" vertical="top" wrapText="1"/>
    </xf>
    <xf numFmtId="0" fontId="8" fillId="8" borderId="0" xfId="0" applyFont="1" applyFill="1" applyAlignment="1">
      <alignment horizontal="left" vertical="top" wrapText="1"/>
    </xf>
    <xf numFmtId="0" fontId="22" fillId="8" borderId="18" xfId="0" applyFont="1" applyFill="1" applyBorder="1" applyAlignment="1">
      <alignment horizontal="left" vertical="top" wrapText="1"/>
    </xf>
    <xf numFmtId="0" fontId="18" fillId="3" borderId="14" xfId="0" applyFont="1" applyFill="1" applyBorder="1" applyAlignment="1">
      <alignment horizontal="center" vertical="center" wrapText="1"/>
    </xf>
    <xf numFmtId="0" fontId="18" fillId="3" borderId="20" xfId="0" applyFont="1" applyFill="1" applyBorder="1" applyAlignment="1">
      <alignment horizontal="center" vertical="center" wrapText="1"/>
    </xf>
    <xf numFmtId="0" fontId="25" fillId="6" borderId="1" xfId="0" applyFont="1" applyFill="1" applyBorder="1" applyAlignment="1">
      <alignment horizontal="center" vertical="center" wrapText="1"/>
    </xf>
    <xf numFmtId="0" fontId="11" fillId="0" borderId="15" xfId="0" applyFont="1" applyBorder="1" applyAlignment="1">
      <alignment horizontal="left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14" fillId="8" borderId="1" xfId="0" applyFont="1" applyFill="1" applyBorder="1" applyAlignment="1">
      <alignment horizontal="center" vertical="center" wrapText="1"/>
    </xf>
    <xf numFmtId="0" fontId="9" fillId="6" borderId="19" xfId="0" applyFont="1" applyFill="1" applyBorder="1" applyAlignment="1">
      <alignment horizontal="center" vertical="center" wrapText="1"/>
    </xf>
    <xf numFmtId="0" fontId="21" fillId="4" borderId="15" xfId="0" applyFont="1" applyFill="1" applyBorder="1" applyAlignment="1">
      <alignment horizontal="left" vertical="center" wrapText="1"/>
    </xf>
  </cellXfs>
  <cellStyles count="3">
    <cellStyle name="Normal" xfId="0" builtinId="0"/>
    <cellStyle name="Normal 2 2" xfId="2" xr:uid="{80A7FD11-EA8D-0144-8364-9BFB050EDD17}"/>
    <cellStyle name="Pourcentage" xfId="1" builtinId="5"/>
  </cellStyles>
  <dxfs count="77">
    <dxf>
      <font>
        <strike val="0"/>
        <outline val="0"/>
        <shadow val="0"/>
        <u val="none"/>
        <vertAlign val="baseline"/>
        <name val="Calibri"/>
        <family val="2"/>
        <scheme val="minor"/>
      </font>
      <numFmt numFmtId="165" formatCode="#,##0\ &quot;€&quot;"/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alignment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alignment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alignment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alignment horizontal="left" vertical="center" textRotation="0" wrapText="1" indent="0" justifyLastLine="0" shrinkToFit="0" readingOrder="0"/>
    </dxf>
    <dxf>
      <font>
        <i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solid">
          <fgColor indexed="64"/>
          <bgColor theme="2"/>
        </patternFill>
      </fill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solid">
          <fgColor indexed="64"/>
          <bgColor theme="7" tint="0.79998168889431442"/>
        </patternFill>
      </fill>
      <alignment horizontal="center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rgb="FF000000"/>
          <bgColor auto="1"/>
        </patternFill>
      </fill>
      <alignment horizontal="center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alignment horizontal="center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alignment horizontal="center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alignment horizontal="center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alignment horizontal="left" vertical="center"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fill>
        <patternFill patternType="solid">
          <fgColor indexed="64"/>
          <bgColor theme="2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solid">
          <fgColor indexed="64"/>
          <bgColor theme="7" tint="0.79998168889431442"/>
        </patternFill>
      </fill>
      <alignment horizontal="left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fill>
        <patternFill patternType="solid">
          <fgColor indexed="64"/>
          <bgColor theme="2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fill>
        <patternFill patternType="solid">
          <fgColor indexed="64"/>
          <bgColor theme="7" tint="0.79998168889431442"/>
        </patternFill>
      </fill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numFmt numFmtId="166" formatCode="#,##0.00\ &quot;€&quot;"/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numFmt numFmtId="166" formatCode="#,##0.00\ &quot;€&quot;"/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alignment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alignment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alignment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alignment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alignment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alignment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6" formatCode="#,##0.00\ &quot;€&quot;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alignment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alignment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numFmt numFmtId="1" formatCode="0"/>
      <alignment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alignment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alignment horizontal="left" vertical="center" textRotation="0" wrapText="1" indent="0" justifyLastLine="0" shrinkToFit="0" readingOrder="0"/>
    </dxf>
    <dxf>
      <fill>
        <patternFill>
          <bgColor theme="8" tint="0.79998168889431442"/>
        </patternFill>
      </fill>
    </dxf>
    <dxf>
      <font>
        <b/>
        <i val="0"/>
        <color theme="0"/>
      </font>
      <fill>
        <patternFill>
          <bgColor rgb="FF00518B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theme="0" tint="-0.24994659260841701"/>
        </vertical>
        <horizontal style="thin">
          <color auto="1"/>
        </horizontal>
      </border>
    </dxf>
  </dxfs>
  <tableStyles count="1" defaultTableStyle="TableStyleMedium9" defaultPivotStyle="PivotStyleLight16">
    <tableStyle name="Morpheus" pivot="0" count="3" xr9:uid="{1BA8ABE3-C71A-F34C-A4C2-67DF1F81360C}">
      <tableStyleElement type="wholeTable" dxfId="76"/>
      <tableStyleElement type="headerRow" dxfId="75"/>
      <tableStyleElement type="firstRowStripe" dxfId="74"/>
    </tableStyle>
  </tableStyles>
  <colors>
    <mruColors>
      <color rgb="FF00518B"/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2764368</xdr:colOff>
      <xdr:row>0</xdr:row>
      <xdr:rowOff>169329</xdr:rowOff>
    </xdr:from>
    <xdr:to>
      <xdr:col>2</xdr:col>
      <xdr:colOff>4182535</xdr:colOff>
      <xdr:row>4</xdr:row>
      <xdr:rowOff>184277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6EC5B7D-19CB-7B48-825A-811E600B3C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0968" y="169329"/>
          <a:ext cx="1418167" cy="77694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2DF2CB5D-346A-0F48-9E5C-846B4469B89D}" name="Achats" displayName="Achats" ref="B5:G20" totalsRowShown="0" headerRowDxfId="73" dataDxfId="72">
  <autoFilter ref="B5:G20" xr:uid="{8DD50972-F6A2-D44D-B36E-CB9992BC40F4}"/>
  <tableColumns count="6">
    <tableColumn id="2" xr3:uid="{08F59A57-1B64-EB47-AA34-D051F8A172F1}" name="N°" dataDxfId="71"/>
    <tableColumn id="5" xr3:uid="{DC51EFDE-9B3B-1441-9B29-4F5595698F39}" name="Acheteur" dataDxfId="70"/>
    <tableColumn id="6" xr3:uid="{7E7B97B9-6BC7-B44A-8E73-4D7FEECBC821}" name="Région" dataDxfId="69"/>
    <tableColumn id="7" xr3:uid="{7F97F2CE-BDAC-E44D-A635-E01E89ED5484}" name="Catégorie" dataDxfId="68"/>
    <tableColumn id="12" xr3:uid="{C3370CC6-5738-F349-9DEF-A13F7CD27206}" name="Produit" dataDxfId="67"/>
    <tableColumn id="11" xr3:uid="{7DAE17FA-B4A5-D649-92E8-505C2A2B03D1}" name="Montant" dataDxfId="66"/>
  </tableColumns>
  <tableStyleInfo name="Morpheus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B4A86C5-8076-BE4B-A12D-9780043751AB}" name="Identités" displayName="Identités" ref="B26:D30" totalsRowShown="0" headerRowDxfId="65" dataDxfId="64">
  <autoFilter ref="B26:D30" xr:uid="{0B4A86C5-8076-BE4B-A12D-9780043751AB}"/>
  <tableColumns count="3">
    <tableColumn id="1" xr3:uid="{01163CD1-8457-7347-899F-BE1D0F3ABCEF}" name="Nom" dataDxfId="63"/>
    <tableColumn id="2" xr3:uid="{9F485CF9-549F-2647-878D-72771F9AD0D1}" name="Prénom" dataDxfId="62"/>
    <tableColumn id="3" xr3:uid="{2C9C2E5A-84AE-9C40-8E7D-614989F145CB}" name="Sexe" dataDxfId="61"/>
  </tableColumns>
  <tableStyleInfo name="Morpheus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4AA60580-4109-9945-9DE7-A6C33931811E}" name="Coordonnées" displayName="Coordonnées" ref="F26:H30" totalsRowShown="0" headerRowDxfId="60" dataDxfId="59">
  <autoFilter ref="F26:H30" xr:uid="{4AA60580-4109-9945-9DE7-A6C33931811E}"/>
  <tableColumns count="3">
    <tableColumn id="1" xr3:uid="{79F8B174-D625-724C-B648-87CC64CFD87F}" name="Prénom" dataDxfId="58"/>
    <tableColumn id="2" xr3:uid="{9A9763EA-ECBB-B147-8FCA-0F3C2F099597}" name="Ville" dataDxfId="57"/>
    <tableColumn id="3" xr3:uid="{426E7BD4-C3F6-CD4E-85DD-29A4989E4E0E}" name="Téléphone" dataDxfId="56"/>
  </tableColumns>
  <tableStyleInfo name="Morpheus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406013EB-3B88-7F48-8DE7-E98E1601B8CE}" name="Ventes_Nord" displayName="Ventes_Nord" ref="B8:D11" totalsRowShown="0" headerRowDxfId="55" dataDxfId="54">
  <autoFilter ref="B8:D11" xr:uid="{406013EB-3B88-7F48-8DE7-E98E1601B8CE}"/>
  <tableColumns count="3">
    <tableColumn id="1" xr3:uid="{67907A8A-FE95-974B-AD3A-D9E2B2159806}" name="Vendeur" dataDxfId="53"/>
    <tableColumn id="2" xr3:uid="{E7BE702F-6A09-B04A-8988-EA11B8F63A74}" name="Produit" dataDxfId="52"/>
    <tableColumn id="3" xr3:uid="{26FDDD29-A78A-A842-BA45-72F5CCD35B71}" name="Montant" dataDxfId="51"/>
  </tableColumns>
  <tableStyleInfo name="Morpheus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ADA09965-8EA5-5F4E-99BF-34387E957E04}" name="Ventes_Sud" displayName="Ventes_Sud" ref="F8:H10" totalsRowShown="0" headerRowDxfId="50" dataDxfId="49">
  <autoFilter ref="F8:H10" xr:uid="{ADA09965-8EA5-5F4E-99BF-34387E957E04}"/>
  <tableColumns count="3">
    <tableColumn id="1" xr3:uid="{46B83D0B-E2E6-2B46-BE97-7CA6B26FFB6C}" name="Vendeur" dataDxfId="48"/>
    <tableColumn id="2" xr3:uid="{C01636E3-26E9-C44C-8564-D289B1032F03}" name="Produit" dataDxfId="47"/>
    <tableColumn id="3" xr3:uid="{7050D4AB-AEF6-104E-9DA4-F5591C7F0ADE}" name="Montant" dataDxfId="46"/>
  </tableColumns>
  <tableStyleInfo name="Morpheus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8DD50972-F6A2-D44D-B36E-CB9992BC40F4}" name="Ventes" displayName="Ventes" ref="B5:H29" totalsRowShown="0" headerRowDxfId="45" dataDxfId="44">
  <autoFilter ref="B5:H29" xr:uid="{8DD50972-F6A2-D44D-B36E-CB9992BC40F4}"/>
  <tableColumns count="7">
    <tableColumn id="2" xr3:uid="{4E25FCE0-7909-C74D-A914-3396EE29D018}" name="Date" dataDxfId="43"/>
    <tableColumn id="4" xr3:uid="{C7E1B947-A461-424A-8556-BEA66805A4B5}" name="Région" dataDxfId="42"/>
    <tableColumn id="5" xr3:uid="{CF6D88CC-6AEF-9549-800C-481D8C5BDB12}" name="Catégorie" dataDxfId="41"/>
    <tableColumn id="6" xr3:uid="{F2750C09-7EF2-794B-AF17-C391D729595F}" name="Produit" dataDxfId="40"/>
    <tableColumn id="7" xr3:uid="{A7C6677C-240B-7544-8CB3-0FF43E1DE1D0}" name="Quantité" dataDxfId="39"/>
    <tableColumn id="8" xr3:uid="{AB580FF0-F1CF-474C-9E86-581107A8D422}" name="Prix unitaire" dataDxfId="38"/>
    <tableColumn id="9" xr3:uid="{7A53DD0C-EC98-EF4B-BC9A-5DEF11100E08}" name="Montant" dataDxfId="37">
      <calculatedColumnFormula>Ventes[[#This Row],[Quantité]]*Ventes[[#This Row],[Prix unitaire]]</calculatedColumnFormula>
    </tableColumn>
  </tableColumns>
  <tableStyleInfo name="Morpheus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C520D796-ADA7-9F44-8FD9-0887268BFAC0}" name="E_Mails" displayName="E_Mails" ref="B5:F10" totalsRowShown="0" headerRowDxfId="36" dataDxfId="35">
  <autoFilter ref="B5:F10" xr:uid="{C520D796-ADA7-9F44-8FD9-0887268BFAC0}"/>
  <tableColumns count="5">
    <tableColumn id="1" xr3:uid="{DA232B0C-5D2F-194C-9BE7-3D04F2577D71}" name="Adresse e-mail" dataDxfId="34"/>
    <tableColumn id="2" xr3:uid="{0BD0C060-04A0-DD4C-BC1D-1CC7AC6844B8}" name="Nom d'utilisateur" dataDxfId="33"/>
    <tableColumn id="4" xr3:uid="{23AEB0D2-640D-FD4D-AFCE-C768A94813C4}" name="Nom d'utilisateur (corrigé)" dataDxfId="32">
      <calculatedColumnFormula>_xlfn.TEXTBEFORE(E_Mails[[#This Row],[Adresse e-mail]],"@")</calculatedColumnFormula>
    </tableColumn>
    <tableColumn id="5" xr3:uid="{83A87178-1D60-C84F-9412-66FDBA34E63D}" name="Nom de domaine" dataDxfId="31"/>
    <tableColumn id="3" xr3:uid="{6179C656-B4C5-A64E-9C6B-5FC0F0629A05}" name="Nom de domaine (corrigé)" dataDxfId="30">
      <calculatedColumnFormula>_xlfn.TEXTAFTER(E_Mails[[#This Row],[Adresse e-mail]],"@")</calculatedColumnFormula>
    </tableColumn>
  </tableColumns>
  <tableStyleInfo name="Morpheus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EE7F4965-D3CB-8B4F-B0BE-A42A31826387}" name="Factures" displayName="Factures" ref="B38:C48" totalsRowShown="0">
  <autoFilter ref="B38:C48" xr:uid="{EE7F4965-D3CB-8B4F-B0BE-A42A31826387}"/>
  <tableColumns count="2">
    <tableColumn id="1" xr3:uid="{26A392FA-EBDE-FF43-B2F8-1FBFB6D082CB}" name="ID facture"/>
    <tableColumn id="2" xr3:uid="{31D82194-C863-D846-9D39-DFA97CA68C94}" name="Statut"/>
  </tableColumns>
  <tableStyleInfo name="Morpheus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4F13206-7E58-714E-85EA-1024BA072E2F}" name="Clients" displayName="Clients" ref="B5:D15" totalsRowShown="0" headerRowDxfId="29" dataDxfId="28">
  <autoFilter ref="B5:D15" xr:uid="{34F13206-7E58-714E-85EA-1024BA072E2F}"/>
  <tableColumns count="3">
    <tableColumn id="1" xr3:uid="{999745BB-8B7F-B64F-88D2-54A31BA13950}" name="ID Client" dataDxfId="27"/>
    <tableColumn id="2" xr3:uid="{7DD1A782-6F2C-0742-AB0F-D7D718B4EBB6}" name="Nom" dataDxfId="26"/>
    <tableColumn id="3" xr3:uid="{C40C36C5-287F-2844-8C75-4EE14907B9F2}" name="Ville" dataDxfId="25"/>
  </tableColumns>
  <tableStyleInfo name="Morpheus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5C058AF-05A4-0847-9C1B-E0945C5E28A7}" name="Remises_Fournisseur" displayName="Remises_Fournisseur" ref="B20:C25" totalsRowShown="0" headerRowDxfId="24" dataDxfId="23">
  <autoFilter ref="B20:C25" xr:uid="{35C058AF-05A4-0847-9C1B-E0945C5E28A7}"/>
  <tableColumns count="2">
    <tableColumn id="1" xr3:uid="{25C574BD-96C7-1D42-B079-2BE547AF36B5}" name="Quantité MIN" dataDxfId="22"/>
    <tableColumn id="2" xr3:uid="{78307841-B89F-954F-9285-8167D61A5909}" name="Taux de remise" dataDxfId="21"/>
  </tableColumns>
  <tableStyleInfo name="Morpheus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59A8698-E067-3D43-9E7D-C02706C4A63C}" name="Tranche_Ages" displayName="Tranche_Ages" ref="F30:G37" totalsRowShown="0" headerRowDxfId="20" dataDxfId="19">
  <autoFilter ref="F30:G37" xr:uid="{259A8698-E067-3D43-9E7D-C02706C4A63C}"/>
  <tableColumns count="2">
    <tableColumn id="1" xr3:uid="{6C8E5830-BA99-7847-BF0D-B7D98C5E8D57}" name="Âge" dataDxfId="18"/>
    <tableColumn id="2" xr3:uid="{6B9AF559-AAF9-C142-B863-037EF6E39D78}" name="Tranche" dataDxfId="17"/>
  </tableColumns>
  <tableStyleInfo name="Morpheus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48FE7CC-FE09-9D4A-80D2-0DBDE60A0BE6}" name="Âges" displayName="Âges" ref="B30:D41" totalsRowShown="0" headerRowDxfId="16" dataDxfId="15">
  <autoFilter ref="B30:D41" xr:uid="{148FE7CC-FE09-9D4A-80D2-0DBDE60A0BE6}"/>
  <tableColumns count="3">
    <tableColumn id="7" xr3:uid="{2A5CA0E3-50D2-5545-BBB6-92DA61BE8E6D}" name="Âge" dataDxfId="14"/>
    <tableColumn id="10" xr3:uid="{42C8521A-2716-1E43-A824-8A3F8CDECBF2}" name="Tranche d'âge" dataDxfId="13"/>
    <tableColumn id="1" xr3:uid="{0AE92719-B3AA-C64E-8EEE-83106AF73174}" name="Corrigé" dataDxfId="12">
      <calculatedColumnFormula>_xlfn.XLOOKUP(Âges[[#This Row],[Âge]],Tranche_Ages[Âge],Tranche_Ages[Tranche],,-1)</calculatedColumnFormula>
    </tableColumn>
  </tableColumns>
  <tableStyleInfo name="Morpheus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B92CAFD7-75F6-AA43-A8E0-5225D61A2C64}" name="Fournisseurs" displayName="Fournisseurs" ref="B46:D56" totalsRowShown="0" headerRowDxfId="11" dataDxfId="10">
  <autoFilter ref="B46:D56" xr:uid="{B92CAFD7-75F6-AA43-A8E0-5225D61A2C64}"/>
  <tableColumns count="3">
    <tableColumn id="1" xr3:uid="{803BC3BF-2B3E-CE45-952F-47A3659C3113}" name="Fournisseur" dataDxfId="9"/>
    <tableColumn id="2" xr3:uid="{CC28DDE5-3D73-5547-9D76-CB615D91164C}" name="Nom" dataDxfId="8"/>
    <tableColumn id="3" xr3:uid="{E9CDBA0F-7FC1-7A48-AC07-0795769A214C}" name="Ville" dataDxfId="7"/>
  </tableColumns>
  <tableStyleInfo name="Morpheus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B17E4481-10E9-8C45-8DB7-53CAB4A067BF}" name="Salariés" displayName="Salariés" ref="B5:F25" totalsRowShown="0" headerRowDxfId="6" dataDxfId="5">
  <autoFilter ref="B5:F25" xr:uid="{8DD50972-F6A2-D44D-B36E-CB9992BC40F4}"/>
  <tableColumns count="5">
    <tableColumn id="2" xr3:uid="{1B15EA11-0160-C64F-9369-B02425B9DB6E}" name="Nom Prénom" dataDxfId="4"/>
    <tableColumn id="4" xr3:uid="{1D636F19-6E70-1345-8360-49FF66E2F1CB}" name="Sexe" dataDxfId="3"/>
    <tableColumn id="6" xr3:uid="{98CB153A-9B04-484A-BAFD-EFBE33C0D056}" name="Poste" dataDxfId="2"/>
    <tableColumn id="5" xr3:uid="{5F9230ED-CD3E-384D-A769-7C1400B6AB06}" name="Département" dataDxfId="1"/>
    <tableColumn id="8" xr3:uid="{0B1E8ECD-C618-8648-B569-6C6DDDDAE1F6}" name="Salaire annuel" dataDxfId="0"/>
  </tableColumns>
  <tableStyleInfo name="Morpheus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table" Target="../tables/table2.xml"/><Relationship Id="rId4" Type="http://schemas.openxmlformats.org/officeDocument/2006/relationships/table" Target="../tables/table5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table" Target="../tables/table7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table" Target="../tables/table10.xml"/><Relationship Id="rId1" Type="http://schemas.openxmlformats.org/officeDocument/2006/relationships/table" Target="../tables/table9.xml"/><Relationship Id="rId5" Type="http://schemas.openxmlformats.org/officeDocument/2006/relationships/table" Target="../tables/table13.xml"/><Relationship Id="rId4" Type="http://schemas.openxmlformats.org/officeDocument/2006/relationships/table" Target="../tables/table1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5D7ED-2B3F-5F41-B3BE-64B107A14382}">
  <sheetPr>
    <tabColor rgb="FF00518B"/>
  </sheetPr>
  <dimension ref="B6:D28"/>
  <sheetViews>
    <sheetView showGridLines="0" tabSelected="1" zoomScaleNormal="100" workbookViewId="0">
      <selection activeCell="B7" sqref="B7:D8"/>
    </sheetView>
  </sheetViews>
  <sheetFormatPr baseColWidth="10" defaultRowHeight="15" x14ac:dyDescent="0.2"/>
  <cols>
    <col min="1" max="1" width="5.83203125" style="1" customWidth="1"/>
    <col min="2" max="2" width="3.83203125" style="1" customWidth="1"/>
    <col min="3" max="3" width="90.83203125" style="1" customWidth="1"/>
    <col min="4" max="4" width="5.83203125" style="1" customWidth="1"/>
    <col min="5" max="16384" width="10.83203125" style="1"/>
  </cols>
  <sheetData>
    <row r="6" spans="2:4" ht="16" thickBot="1" x14ac:dyDescent="0.25"/>
    <row r="7" spans="2:4" x14ac:dyDescent="0.2">
      <c r="B7" s="98" t="s">
        <v>174</v>
      </c>
      <c r="C7" s="99"/>
      <c r="D7" s="100"/>
    </row>
    <row r="8" spans="2:4" ht="16" thickBot="1" x14ac:dyDescent="0.25">
      <c r="B8" s="101"/>
      <c r="C8" s="102"/>
      <c r="D8" s="103"/>
    </row>
    <row r="9" spans="2:4" s="3" customFormat="1" ht="16" thickBot="1" x14ac:dyDescent="0.25">
      <c r="B9" s="2"/>
      <c r="C9" s="1"/>
      <c r="D9" s="1"/>
    </row>
    <row r="10" spans="2:4" x14ac:dyDescent="0.2">
      <c r="B10" s="104" t="s">
        <v>86</v>
      </c>
      <c r="C10" s="105"/>
      <c r="D10" s="106"/>
    </row>
    <row r="11" spans="2:4" ht="16" thickBot="1" x14ac:dyDescent="0.25">
      <c r="B11" s="107"/>
      <c r="C11" s="108"/>
      <c r="D11" s="109"/>
    </row>
    <row r="12" spans="2:4" x14ac:dyDescent="0.2">
      <c r="B12" s="4"/>
      <c r="C12" s="5"/>
      <c r="D12" s="6"/>
    </row>
    <row r="13" spans="2:4" ht="16" x14ac:dyDescent="0.2">
      <c r="B13" s="7" t="s">
        <v>87</v>
      </c>
      <c r="C13" s="1" t="s">
        <v>168</v>
      </c>
      <c r="D13" s="8"/>
    </row>
    <row r="14" spans="2:4" ht="16" x14ac:dyDescent="0.2">
      <c r="B14" s="7" t="s">
        <v>87</v>
      </c>
      <c r="C14" s="1" t="s">
        <v>91</v>
      </c>
      <c r="D14" s="8"/>
    </row>
    <row r="15" spans="2:4" ht="16" x14ac:dyDescent="0.2">
      <c r="B15" s="7" t="s">
        <v>87</v>
      </c>
      <c r="C15" s="1" t="s">
        <v>90</v>
      </c>
      <c r="D15" s="8"/>
    </row>
    <row r="16" spans="2:4" ht="16" x14ac:dyDescent="0.2">
      <c r="B16" s="7" t="s">
        <v>87</v>
      </c>
      <c r="C16" s="1" t="s">
        <v>89</v>
      </c>
      <c r="D16" s="8"/>
    </row>
    <row r="17" spans="2:4" s="3" customFormat="1" ht="16" x14ac:dyDescent="0.2">
      <c r="B17" s="7" t="s">
        <v>87</v>
      </c>
      <c r="C17" s="1" t="s">
        <v>155</v>
      </c>
      <c r="D17" s="8"/>
    </row>
    <row r="18" spans="2:4" s="3" customFormat="1" ht="16" x14ac:dyDescent="0.2">
      <c r="B18" s="7" t="s">
        <v>87</v>
      </c>
      <c r="C18" s="1" t="s">
        <v>176</v>
      </c>
      <c r="D18" s="8"/>
    </row>
    <row r="19" spans="2:4" s="3" customFormat="1" ht="16" x14ac:dyDescent="0.2">
      <c r="B19" s="7" t="s">
        <v>87</v>
      </c>
      <c r="C19" s="1" t="s">
        <v>88</v>
      </c>
      <c r="D19" s="8"/>
    </row>
    <row r="20" spans="2:4" s="3" customFormat="1" ht="16" x14ac:dyDescent="0.2">
      <c r="B20" s="7" t="s">
        <v>87</v>
      </c>
      <c r="C20" s="1" t="s">
        <v>92</v>
      </c>
      <c r="D20" s="8"/>
    </row>
    <row r="21" spans="2:4" ht="16" thickBot="1" x14ac:dyDescent="0.25">
      <c r="B21" s="9"/>
      <c r="C21" s="10"/>
      <c r="D21" s="11"/>
    </row>
    <row r="22" spans="2:4" ht="16" thickBot="1" x14ac:dyDescent="0.25"/>
    <row r="23" spans="2:4" x14ac:dyDescent="0.2">
      <c r="B23" s="104" t="s">
        <v>148</v>
      </c>
      <c r="C23" s="105"/>
      <c r="D23" s="106"/>
    </row>
    <row r="24" spans="2:4" ht="16" thickBot="1" x14ac:dyDescent="0.25">
      <c r="B24" s="107"/>
      <c r="C24" s="108"/>
      <c r="D24" s="109"/>
    </row>
    <row r="25" spans="2:4" x14ac:dyDescent="0.2">
      <c r="B25" s="28"/>
      <c r="D25" s="8"/>
    </row>
    <row r="26" spans="2:4" ht="16" x14ac:dyDescent="0.2">
      <c r="B26" s="28"/>
      <c r="C26" s="1" t="s">
        <v>173</v>
      </c>
      <c r="D26" s="8"/>
    </row>
    <row r="27" spans="2:4" x14ac:dyDescent="0.2">
      <c r="B27" s="28"/>
      <c r="C27" s="29"/>
      <c r="D27" s="8"/>
    </row>
    <row r="28" spans="2:4" ht="16" thickBot="1" x14ac:dyDescent="0.25">
      <c r="B28" s="9"/>
      <c r="C28" s="10"/>
      <c r="D28" s="11"/>
    </row>
  </sheetData>
  <sheetProtection selectLockedCells="1" selectUnlockedCells="1"/>
  <mergeCells count="3">
    <mergeCell ref="B7:D8"/>
    <mergeCell ref="B10:D11"/>
    <mergeCell ref="B23:D24"/>
  </mergeCells>
  <pageMargins left="0.7" right="0.7" top="0.75" bottom="0.75" header="0.3" footer="0.3"/>
  <pageSetup paperSize="9"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217FD-E9FB-DC40-A708-633E8CAFC274}">
  <sheetPr>
    <tabColor theme="8" tint="0.79998168889431442"/>
  </sheetPr>
  <dimension ref="A1:AK41"/>
  <sheetViews>
    <sheetView showGridLines="0" workbookViewId="0">
      <pane ySplit="1" topLeftCell="A2" activePane="bottomLeft" state="frozen"/>
      <selection pane="bottomLeft" activeCell="B13" sqref="B13"/>
    </sheetView>
  </sheetViews>
  <sheetFormatPr baseColWidth="10" defaultColWidth="8.83203125" defaultRowHeight="15" x14ac:dyDescent="0.2"/>
  <cols>
    <col min="1" max="1" width="2.83203125" style="34" customWidth="1"/>
    <col min="2" max="7" width="23.33203125" style="34" customWidth="1"/>
    <col min="8" max="8" width="2.83203125" style="37" customWidth="1"/>
    <col min="9" max="9" width="2.83203125" style="34" customWidth="1"/>
    <col min="10" max="15" width="20.83203125" style="34" customWidth="1"/>
    <col min="16" max="18" width="8.83203125" style="34"/>
    <col min="19" max="19" width="8.83203125" style="34" customWidth="1"/>
    <col min="20" max="16384" width="8.83203125" style="34"/>
  </cols>
  <sheetData>
    <row r="1" spans="1:37" ht="19" x14ac:dyDescent="0.2">
      <c r="A1" s="111" t="s">
        <v>168</v>
      </c>
      <c r="B1" s="111"/>
      <c r="C1" s="111"/>
      <c r="D1" s="111"/>
      <c r="E1" s="111"/>
      <c r="F1" s="111"/>
      <c r="G1" s="111"/>
      <c r="H1" s="111"/>
    </row>
    <row r="3" spans="1:37" x14ac:dyDescent="0.2">
      <c r="A3" s="35"/>
      <c r="B3" s="112" t="s">
        <v>166</v>
      </c>
      <c r="C3" s="112"/>
      <c r="D3" s="112"/>
      <c r="E3" s="112"/>
      <c r="F3" s="112"/>
      <c r="G3" s="112"/>
      <c r="H3" s="113"/>
    </row>
    <row r="5" spans="1:37" x14ac:dyDescent="0.2">
      <c r="B5" s="45">
        <v>12</v>
      </c>
      <c r="C5" s="45">
        <v>45</v>
      </c>
      <c r="J5" s="38"/>
    </row>
    <row r="6" spans="1:37" x14ac:dyDescent="0.2">
      <c r="B6" s="46">
        <v>31</v>
      </c>
      <c r="C6" s="47">
        <v>17</v>
      </c>
    </row>
    <row r="7" spans="1:37" x14ac:dyDescent="0.2">
      <c r="B7" s="46">
        <v>22</v>
      </c>
      <c r="C7" s="47">
        <v>6</v>
      </c>
    </row>
    <row r="10" spans="1:37" x14ac:dyDescent="0.2">
      <c r="A10" s="35"/>
      <c r="B10" s="114" t="s">
        <v>167</v>
      </c>
      <c r="C10" s="114"/>
      <c r="D10" s="114"/>
      <c r="E10" s="114"/>
      <c r="F10" s="114"/>
      <c r="G10" s="114"/>
      <c r="H10" s="115"/>
    </row>
    <row r="11" spans="1:37" s="37" customFormat="1" x14ac:dyDescent="0.2">
      <c r="A11" s="34"/>
      <c r="B11" s="110" t="s">
        <v>186</v>
      </c>
      <c r="C11" s="110"/>
      <c r="D11" s="110"/>
      <c r="E11" s="110"/>
      <c r="F11" s="110"/>
      <c r="G11" s="110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</row>
    <row r="12" spans="1:37" s="37" customFormat="1" ht="16" x14ac:dyDescent="0.2">
      <c r="A12" s="34"/>
      <c r="B12" s="34"/>
      <c r="C12" s="34"/>
      <c r="D12" s="34"/>
      <c r="E12" s="34"/>
      <c r="F12" s="34"/>
      <c r="G12" s="34"/>
      <c r="I12" s="34"/>
      <c r="J12" s="39" t="s">
        <v>95</v>
      </c>
      <c r="K12" s="34"/>
      <c r="L12" s="34"/>
      <c r="M12" s="34"/>
      <c r="N12" s="40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</row>
    <row r="13" spans="1:37" s="37" customFormat="1" x14ac:dyDescent="0.2">
      <c r="A13" s="34"/>
      <c r="B13" s="41"/>
      <c r="C13" s="34"/>
      <c r="D13" s="34"/>
      <c r="E13" s="34"/>
      <c r="F13" s="34"/>
      <c r="G13" s="34"/>
      <c r="I13" s="34"/>
      <c r="J13" s="42" cm="1">
        <f t="array" ref="J13:J18">_xlfn.TOCOL(B5:C7)</f>
        <v>12</v>
      </c>
      <c r="K13" s="40"/>
      <c r="L13" s="40"/>
      <c r="M13" s="34"/>
      <c r="N13" s="40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</row>
    <row r="14" spans="1:37" s="37" customFormat="1" x14ac:dyDescent="0.2">
      <c r="A14" s="34"/>
      <c r="B14" s="34"/>
      <c r="C14" s="34"/>
      <c r="D14" s="34"/>
      <c r="E14" s="34"/>
      <c r="F14" s="34"/>
      <c r="G14" s="34"/>
      <c r="I14" s="34"/>
      <c r="J14" s="40">
        <v>45</v>
      </c>
      <c r="K14" s="40"/>
      <c r="L14" s="40"/>
      <c r="M14" s="40"/>
      <c r="N14" s="40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</row>
    <row r="15" spans="1:37" s="37" customFormat="1" x14ac:dyDescent="0.2">
      <c r="A15" s="34"/>
      <c r="B15" s="34"/>
      <c r="C15" s="34"/>
      <c r="D15" s="34"/>
      <c r="E15" s="34"/>
      <c r="F15" s="34"/>
      <c r="G15" s="34"/>
      <c r="I15" s="34"/>
      <c r="J15" s="40">
        <v>31</v>
      </c>
      <c r="K15" s="40"/>
      <c r="L15" s="40"/>
      <c r="M15" s="40"/>
      <c r="N15" s="40"/>
      <c r="O15" s="40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</row>
    <row r="16" spans="1:37" s="37" customFormat="1" x14ac:dyDescent="0.2">
      <c r="A16" s="34"/>
      <c r="B16" s="34"/>
      <c r="C16" s="34"/>
      <c r="D16" s="34"/>
      <c r="E16" s="34"/>
      <c r="F16" s="34"/>
      <c r="G16" s="34"/>
      <c r="I16" s="34"/>
      <c r="J16" s="40">
        <v>17</v>
      </c>
      <c r="K16" s="40"/>
      <c r="L16" s="40"/>
      <c r="M16" s="40"/>
      <c r="N16" s="40"/>
      <c r="O16" s="40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</row>
    <row r="17" spans="1:37" s="37" customFormat="1" x14ac:dyDescent="0.2">
      <c r="A17" s="34"/>
      <c r="B17" s="34"/>
      <c r="C17" s="34"/>
      <c r="D17" s="34"/>
      <c r="E17" s="34"/>
      <c r="F17" s="34"/>
      <c r="G17" s="34"/>
      <c r="I17" s="34"/>
      <c r="J17" s="40">
        <v>22</v>
      </c>
      <c r="K17" s="40"/>
      <c r="L17" s="40"/>
      <c r="M17" s="40"/>
      <c r="N17" s="40"/>
      <c r="O17" s="40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</row>
    <row r="18" spans="1:37" s="37" customFormat="1" x14ac:dyDescent="0.2">
      <c r="A18" s="34"/>
      <c r="B18" s="34"/>
      <c r="C18" s="34"/>
      <c r="D18" s="34"/>
      <c r="E18" s="34"/>
      <c r="F18" s="34"/>
      <c r="G18" s="34"/>
      <c r="I18" s="34"/>
      <c r="J18" s="40">
        <v>6</v>
      </c>
      <c r="K18" s="40"/>
      <c r="L18" s="40"/>
      <c r="M18" s="40"/>
      <c r="N18" s="40"/>
      <c r="O18" s="40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</row>
    <row r="19" spans="1:37" s="37" customFormat="1" x14ac:dyDescent="0.2">
      <c r="A19" s="34"/>
      <c r="B19" s="34"/>
      <c r="C19" s="34"/>
      <c r="D19" s="34"/>
      <c r="E19" s="34"/>
      <c r="F19" s="34"/>
      <c r="G19" s="34"/>
      <c r="I19" s="34"/>
      <c r="J19" s="40"/>
      <c r="K19" s="40"/>
      <c r="L19" s="40"/>
      <c r="M19" s="40"/>
      <c r="N19" s="40"/>
      <c r="O19" s="40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</row>
    <row r="20" spans="1:37" s="37" customFormat="1" x14ac:dyDescent="0.2">
      <c r="A20" s="34"/>
      <c r="B20" s="34"/>
      <c r="C20" s="34"/>
      <c r="D20" s="34"/>
      <c r="E20" s="34"/>
      <c r="F20" s="34"/>
      <c r="G20" s="34"/>
      <c r="I20" s="34"/>
      <c r="J20" s="40"/>
      <c r="K20" s="40"/>
      <c r="L20" s="40"/>
      <c r="M20" s="40"/>
      <c r="N20" s="40"/>
      <c r="O20" s="40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</row>
    <row r="21" spans="1:37" s="37" customFormat="1" x14ac:dyDescent="0.2">
      <c r="A21" s="35"/>
      <c r="B21" s="114" t="s">
        <v>175</v>
      </c>
      <c r="C21" s="114"/>
      <c r="D21" s="114"/>
      <c r="E21" s="114"/>
      <c r="F21" s="114"/>
      <c r="G21" s="114"/>
      <c r="H21" s="115"/>
      <c r="I21" s="34"/>
      <c r="J21" s="34"/>
      <c r="K21" s="34"/>
      <c r="L21" s="34"/>
      <c r="M21" s="40"/>
      <c r="N21" s="40"/>
      <c r="O21" s="40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</row>
    <row r="22" spans="1:37" s="37" customFormat="1" x14ac:dyDescent="0.2">
      <c r="A22" s="34"/>
      <c r="B22" s="110" t="s">
        <v>187</v>
      </c>
      <c r="C22" s="110"/>
      <c r="D22" s="110"/>
      <c r="E22" s="110"/>
      <c r="F22" s="110"/>
      <c r="G22" s="110"/>
      <c r="I22" s="34"/>
      <c r="J22" s="34"/>
      <c r="K22" s="34"/>
      <c r="L22" s="34"/>
      <c r="M22" s="40"/>
      <c r="N22" s="40"/>
      <c r="O22" s="40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</row>
    <row r="23" spans="1:37" ht="16" x14ac:dyDescent="0.2">
      <c r="J23" s="39" t="s">
        <v>95</v>
      </c>
      <c r="K23" s="40"/>
      <c r="M23" s="40"/>
      <c r="N23" s="40"/>
      <c r="O23" s="40"/>
    </row>
    <row r="24" spans="1:37" x14ac:dyDescent="0.2">
      <c r="B24" s="41"/>
      <c r="J24" s="42" cm="1">
        <f t="array" ref="J24:O24">_xlfn.TOROW(B5:C7)</f>
        <v>12</v>
      </c>
      <c r="K24" s="40">
        <v>45</v>
      </c>
      <c r="L24" s="40">
        <v>31</v>
      </c>
      <c r="M24" s="40">
        <v>17</v>
      </c>
      <c r="N24" s="40">
        <v>22</v>
      </c>
      <c r="O24" s="40">
        <v>6</v>
      </c>
    </row>
    <row r="25" spans="1:37" x14ac:dyDescent="0.2">
      <c r="J25" s="40"/>
      <c r="K25" s="40"/>
      <c r="L25" s="40"/>
      <c r="M25" s="40"/>
      <c r="N25" s="40"/>
      <c r="O25" s="40"/>
    </row>
    <row r="26" spans="1:37" x14ac:dyDescent="0.2">
      <c r="J26" s="40"/>
      <c r="K26" s="40"/>
      <c r="L26" s="40"/>
      <c r="M26" s="40"/>
      <c r="N26" s="40"/>
      <c r="O26" s="40"/>
    </row>
    <row r="27" spans="1:37" s="37" customFormat="1" x14ac:dyDescent="0.2">
      <c r="A27" s="35"/>
      <c r="B27" s="114" t="s">
        <v>171</v>
      </c>
      <c r="C27" s="114"/>
      <c r="D27" s="114"/>
      <c r="E27" s="114"/>
      <c r="F27" s="114"/>
      <c r="G27" s="114"/>
      <c r="H27" s="115"/>
      <c r="I27" s="34"/>
      <c r="J27" s="34"/>
      <c r="K27" s="34"/>
      <c r="L27" s="34"/>
      <c r="M27" s="40"/>
      <c r="N27" s="40"/>
      <c r="O27" s="40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</row>
    <row r="28" spans="1:37" s="37" customFormat="1" x14ac:dyDescent="0.2">
      <c r="A28" s="34"/>
      <c r="B28" s="110" t="s">
        <v>188</v>
      </c>
      <c r="C28" s="110"/>
      <c r="D28" s="110"/>
      <c r="E28" s="110"/>
      <c r="F28" s="110"/>
      <c r="G28" s="110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</row>
    <row r="29" spans="1:37" s="37" customFormat="1" ht="16" x14ac:dyDescent="0.2">
      <c r="A29" s="34"/>
      <c r="B29" s="34"/>
      <c r="C29" s="34"/>
      <c r="D29" s="34"/>
      <c r="E29" s="34"/>
      <c r="F29" s="34"/>
      <c r="G29" s="34"/>
      <c r="I29" s="34"/>
      <c r="J29" s="39" t="s">
        <v>95</v>
      </c>
      <c r="K29" s="40"/>
      <c r="L29" s="40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</row>
    <row r="30" spans="1:37" s="37" customFormat="1" ht="16" x14ac:dyDescent="0.2">
      <c r="A30" s="34"/>
      <c r="B30" s="43" t="s">
        <v>169</v>
      </c>
      <c r="C30" s="34"/>
      <c r="D30" s="34"/>
      <c r="E30" s="34"/>
      <c r="F30" s="34"/>
      <c r="G30" s="34"/>
      <c r="I30" s="34"/>
      <c r="J30" s="44" t="s">
        <v>169</v>
      </c>
      <c r="K30" s="40"/>
      <c r="L30" s="40"/>
      <c r="M30" s="40"/>
      <c r="N30" s="40"/>
      <c r="O30" s="40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</row>
    <row r="31" spans="1:37" s="37" customFormat="1" x14ac:dyDescent="0.2">
      <c r="A31" s="34"/>
      <c r="B31" s="41"/>
      <c r="C31" s="34"/>
      <c r="D31" s="34"/>
      <c r="E31" s="34"/>
      <c r="F31" s="34"/>
      <c r="G31" s="34"/>
      <c r="I31" s="34"/>
      <c r="J31" s="42" cm="1">
        <f t="array" ref="J31:K33">_xlfn.WRAPCOLS(_xlfn.ANCHORARRAY(J13),3)</f>
        <v>12</v>
      </c>
      <c r="K31" s="40">
        <v>17</v>
      </c>
      <c r="L31" s="40"/>
      <c r="M31" s="40"/>
      <c r="N31" s="40"/>
      <c r="O31" s="40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</row>
    <row r="32" spans="1:37" s="37" customFormat="1" x14ac:dyDescent="0.2">
      <c r="A32" s="34"/>
      <c r="B32" s="34"/>
      <c r="C32" s="34"/>
      <c r="D32" s="34"/>
      <c r="E32" s="34"/>
      <c r="F32" s="34"/>
      <c r="G32" s="34"/>
      <c r="I32" s="34"/>
      <c r="J32" s="40">
        <v>45</v>
      </c>
      <c r="K32" s="40">
        <v>22</v>
      </c>
      <c r="L32" s="40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</row>
    <row r="33" spans="2:12" x14ac:dyDescent="0.2">
      <c r="J33" s="40">
        <v>31</v>
      </c>
      <c r="K33" s="34">
        <v>6</v>
      </c>
    </row>
    <row r="34" spans="2:12" x14ac:dyDescent="0.2">
      <c r="K34" s="40"/>
      <c r="L34" s="40"/>
    </row>
    <row r="35" spans="2:12" x14ac:dyDescent="0.2">
      <c r="K35" s="40"/>
      <c r="L35" s="40"/>
    </row>
    <row r="36" spans="2:12" ht="16" x14ac:dyDescent="0.2">
      <c r="B36" s="43" t="s">
        <v>170</v>
      </c>
      <c r="J36" s="44" t="s">
        <v>170</v>
      </c>
      <c r="K36" s="40"/>
      <c r="L36" s="40"/>
    </row>
    <row r="37" spans="2:12" x14ac:dyDescent="0.2">
      <c r="B37" s="41"/>
      <c r="J37" s="40" cm="1">
        <f t="array" ref="J37:K39">_xlfn.WRAPROWS(_xlfn.ANCHORARRAY(J13),2)</f>
        <v>12</v>
      </c>
      <c r="K37" s="34">
        <v>45</v>
      </c>
    </row>
    <row r="38" spans="2:12" x14ac:dyDescent="0.2">
      <c r="J38" s="40">
        <v>31</v>
      </c>
      <c r="K38" s="34">
        <v>17</v>
      </c>
    </row>
    <row r="39" spans="2:12" x14ac:dyDescent="0.2">
      <c r="J39" s="40">
        <v>22</v>
      </c>
      <c r="K39" s="34">
        <v>6</v>
      </c>
    </row>
    <row r="40" spans="2:12" x14ac:dyDescent="0.2">
      <c r="J40" s="40"/>
    </row>
    <row r="41" spans="2:12" x14ac:dyDescent="0.2">
      <c r="J41" s="40"/>
    </row>
  </sheetData>
  <mergeCells count="8">
    <mergeCell ref="B28:G28"/>
    <mergeCell ref="B22:G22"/>
    <mergeCell ref="A1:H1"/>
    <mergeCell ref="B3:H3"/>
    <mergeCell ref="B10:H10"/>
    <mergeCell ref="B11:G11"/>
    <mergeCell ref="B21:H21"/>
    <mergeCell ref="B27:H27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BD8CA-D50C-3345-985B-F23CCCA0A550}">
  <sheetPr>
    <tabColor theme="8" tint="0.79998168889431442"/>
  </sheetPr>
  <dimension ref="A1:AK87"/>
  <sheetViews>
    <sheetView showGridLines="0" workbookViewId="0">
      <pane ySplit="5" topLeftCell="A6" activePane="bottomLeft" state="frozen"/>
      <selection activeCell="C13" sqref="C13"/>
      <selection pane="bottomLeft" activeCell="B26" sqref="B26"/>
    </sheetView>
  </sheetViews>
  <sheetFormatPr baseColWidth="10" defaultColWidth="8.83203125" defaultRowHeight="15" x14ac:dyDescent="0.2"/>
  <cols>
    <col min="1" max="1" width="2.83203125" style="15" customWidth="1"/>
    <col min="2" max="7" width="20.83203125" style="15" customWidth="1"/>
    <col min="8" max="8" width="2.83203125" style="49" customWidth="1"/>
    <col min="9" max="9" width="2.83203125" style="15" customWidth="1"/>
    <col min="10" max="15" width="20.83203125" style="15" customWidth="1"/>
    <col min="16" max="18" width="8.83203125" style="15"/>
    <col min="19" max="19" width="8.83203125" style="15" customWidth="1"/>
    <col min="20" max="16384" width="8.83203125" style="15"/>
  </cols>
  <sheetData>
    <row r="1" spans="1:10" ht="19" x14ac:dyDescent="0.2">
      <c r="A1" s="119" t="s">
        <v>91</v>
      </c>
      <c r="B1" s="119"/>
      <c r="C1" s="119"/>
      <c r="D1" s="119"/>
      <c r="E1" s="119"/>
      <c r="F1" s="119"/>
      <c r="G1" s="119"/>
      <c r="H1" s="119"/>
    </row>
    <row r="3" spans="1:10" x14ac:dyDescent="0.2">
      <c r="A3" s="48"/>
      <c r="B3" s="120" t="s">
        <v>164</v>
      </c>
      <c r="C3" s="120"/>
      <c r="D3" s="120"/>
      <c r="E3" s="120"/>
      <c r="F3" s="120"/>
      <c r="G3" s="120"/>
      <c r="H3" s="121"/>
    </row>
    <row r="5" spans="1:10" ht="16" x14ac:dyDescent="0.2">
      <c r="B5" s="14" t="s">
        <v>33</v>
      </c>
      <c r="C5" s="14" t="s">
        <v>149</v>
      </c>
      <c r="D5" s="14" t="s">
        <v>36</v>
      </c>
      <c r="E5" s="14" t="s">
        <v>0</v>
      </c>
      <c r="F5" s="14" t="s">
        <v>37</v>
      </c>
      <c r="G5" s="14" t="s">
        <v>85</v>
      </c>
      <c r="J5" s="50"/>
    </row>
    <row r="6" spans="1:10" x14ac:dyDescent="0.2">
      <c r="B6" s="32">
        <v>1</v>
      </c>
      <c r="C6" s="17" t="s">
        <v>39</v>
      </c>
      <c r="D6" s="17" t="s">
        <v>40</v>
      </c>
      <c r="E6" s="17" t="s">
        <v>41</v>
      </c>
      <c r="F6" s="17" t="s">
        <v>42</v>
      </c>
      <c r="G6" s="30">
        <v>54</v>
      </c>
    </row>
    <row r="7" spans="1:10" x14ac:dyDescent="0.2">
      <c r="B7" s="32">
        <v>2</v>
      </c>
      <c r="C7" s="17" t="s">
        <v>43</v>
      </c>
      <c r="D7" s="17" t="s">
        <v>44</v>
      </c>
      <c r="E7" s="17" t="s">
        <v>41</v>
      </c>
      <c r="F7" s="17" t="s">
        <v>45</v>
      </c>
      <c r="G7" s="30">
        <v>267</v>
      </c>
    </row>
    <row r="8" spans="1:10" x14ac:dyDescent="0.2">
      <c r="B8" s="32">
        <v>3</v>
      </c>
      <c r="C8" s="17" t="s">
        <v>46</v>
      </c>
      <c r="D8" s="17" t="s">
        <v>47</v>
      </c>
      <c r="E8" s="17" t="s">
        <v>41</v>
      </c>
      <c r="F8" s="17" t="s">
        <v>48</v>
      </c>
      <c r="G8" s="30">
        <v>80</v>
      </c>
    </row>
    <row r="9" spans="1:10" x14ac:dyDescent="0.2">
      <c r="B9" s="32">
        <v>4</v>
      </c>
      <c r="C9" s="17" t="s">
        <v>49</v>
      </c>
      <c r="D9" s="17" t="s">
        <v>50</v>
      </c>
      <c r="E9" s="17" t="s">
        <v>41</v>
      </c>
      <c r="F9" s="17" t="s">
        <v>51</v>
      </c>
      <c r="G9" s="30">
        <v>55.2</v>
      </c>
    </row>
    <row r="10" spans="1:10" x14ac:dyDescent="0.2">
      <c r="B10" s="32">
        <v>5</v>
      </c>
      <c r="C10" s="17" t="s">
        <v>52</v>
      </c>
      <c r="D10" s="17" t="s">
        <v>40</v>
      </c>
      <c r="E10" s="17" t="s">
        <v>53</v>
      </c>
      <c r="F10" s="17" t="s">
        <v>54</v>
      </c>
      <c r="G10" s="30">
        <v>640</v>
      </c>
    </row>
    <row r="11" spans="1:10" x14ac:dyDescent="0.2">
      <c r="B11" s="32">
        <v>6</v>
      </c>
      <c r="C11" s="17" t="s">
        <v>39</v>
      </c>
      <c r="D11" s="17" t="s">
        <v>44</v>
      </c>
      <c r="E11" s="17" t="s">
        <v>53</v>
      </c>
      <c r="F11" s="17" t="s">
        <v>55</v>
      </c>
      <c r="G11" s="30">
        <v>725</v>
      </c>
    </row>
    <row r="12" spans="1:10" x14ac:dyDescent="0.2">
      <c r="B12" s="32">
        <v>7</v>
      </c>
      <c r="C12" s="17" t="s">
        <v>43</v>
      </c>
      <c r="D12" s="17" t="s">
        <v>47</v>
      </c>
      <c r="E12" s="17" t="s">
        <v>53</v>
      </c>
      <c r="F12" s="17" t="s">
        <v>56</v>
      </c>
      <c r="G12" s="30">
        <v>312</v>
      </c>
    </row>
    <row r="13" spans="1:10" x14ac:dyDescent="0.2">
      <c r="B13" s="32">
        <v>8</v>
      </c>
      <c r="C13" s="17" t="s">
        <v>46</v>
      </c>
      <c r="D13" s="17" t="s">
        <v>50</v>
      </c>
      <c r="E13" s="17" t="s">
        <v>53</v>
      </c>
      <c r="F13" s="17" t="s">
        <v>57</v>
      </c>
      <c r="G13" s="30">
        <v>410</v>
      </c>
    </row>
    <row r="14" spans="1:10" x14ac:dyDescent="0.2">
      <c r="B14" s="32">
        <v>9</v>
      </c>
      <c r="C14" s="17" t="s">
        <v>49</v>
      </c>
      <c r="D14" s="17" t="s">
        <v>40</v>
      </c>
      <c r="E14" s="17" t="s">
        <v>58</v>
      </c>
      <c r="F14" s="17" t="s">
        <v>59</v>
      </c>
      <c r="G14" s="30">
        <v>954</v>
      </c>
      <c r="J14" s="50"/>
    </row>
    <row r="15" spans="1:10" x14ac:dyDescent="0.2">
      <c r="B15" s="32">
        <v>10</v>
      </c>
      <c r="C15" s="17" t="s">
        <v>52</v>
      </c>
      <c r="D15" s="17" t="s">
        <v>44</v>
      </c>
      <c r="E15" s="17" t="s">
        <v>58</v>
      </c>
      <c r="F15" s="17" t="s">
        <v>60</v>
      </c>
      <c r="G15" s="30">
        <v>240</v>
      </c>
    </row>
    <row r="16" spans="1:10" x14ac:dyDescent="0.2">
      <c r="B16" s="32">
        <v>11</v>
      </c>
      <c r="C16" s="17" t="s">
        <v>39</v>
      </c>
      <c r="D16" s="17" t="s">
        <v>47</v>
      </c>
      <c r="E16" s="17" t="s">
        <v>58</v>
      </c>
      <c r="F16" s="17" t="s">
        <v>61</v>
      </c>
      <c r="G16" s="30">
        <v>142.5</v>
      </c>
    </row>
    <row r="17" spans="1:37" x14ac:dyDescent="0.2">
      <c r="B17" s="32">
        <v>12</v>
      </c>
      <c r="C17" s="17" t="s">
        <v>43</v>
      </c>
      <c r="D17" s="17" t="s">
        <v>50</v>
      </c>
      <c r="E17" s="17" t="s">
        <v>58</v>
      </c>
      <c r="F17" s="17" t="s">
        <v>62</v>
      </c>
      <c r="G17" s="30">
        <v>273</v>
      </c>
    </row>
    <row r="18" spans="1:37" x14ac:dyDescent="0.2">
      <c r="B18" s="32">
        <v>13</v>
      </c>
      <c r="C18" s="17" t="s">
        <v>46</v>
      </c>
      <c r="D18" s="17" t="s">
        <v>40</v>
      </c>
      <c r="E18" s="17" t="s">
        <v>63</v>
      </c>
      <c r="F18" s="17" t="s">
        <v>64</v>
      </c>
      <c r="G18" s="30">
        <v>110</v>
      </c>
    </row>
    <row r="19" spans="1:37" x14ac:dyDescent="0.2">
      <c r="B19" s="32">
        <v>14</v>
      </c>
      <c r="C19" s="17" t="s">
        <v>49</v>
      </c>
      <c r="D19" s="17" t="s">
        <v>44</v>
      </c>
      <c r="E19" s="17" t="s">
        <v>63</v>
      </c>
      <c r="F19" s="17" t="s">
        <v>65</v>
      </c>
      <c r="G19" s="30">
        <v>63</v>
      </c>
    </row>
    <row r="20" spans="1:37" x14ac:dyDescent="0.2">
      <c r="B20" s="32">
        <v>15</v>
      </c>
      <c r="C20" s="17" t="s">
        <v>52</v>
      </c>
      <c r="D20" s="17" t="s">
        <v>47</v>
      </c>
      <c r="E20" s="17" t="s">
        <v>63</v>
      </c>
      <c r="F20" s="17" t="s">
        <v>66</v>
      </c>
      <c r="G20" s="30">
        <v>68.399999999999991</v>
      </c>
      <c r="J20" s="50"/>
    </row>
    <row r="23" spans="1:37" x14ac:dyDescent="0.2">
      <c r="A23" s="48"/>
      <c r="B23" s="117" t="s">
        <v>163</v>
      </c>
      <c r="C23" s="117"/>
      <c r="D23" s="117"/>
      <c r="E23" s="117"/>
      <c r="F23" s="117"/>
      <c r="G23" s="117"/>
      <c r="H23" s="118"/>
    </row>
    <row r="24" spans="1:37" s="49" customFormat="1" x14ac:dyDescent="0.2">
      <c r="A24" s="15"/>
      <c r="B24" s="116" t="s">
        <v>189</v>
      </c>
      <c r="C24" s="116"/>
      <c r="D24" s="116"/>
      <c r="E24" s="116"/>
      <c r="F24" s="116"/>
      <c r="G24" s="116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</row>
    <row r="25" spans="1:37" s="49" customFormat="1" ht="16" x14ac:dyDescent="0.2">
      <c r="A25" s="15"/>
      <c r="B25" s="15"/>
      <c r="C25" s="15"/>
      <c r="D25" s="15"/>
      <c r="E25" s="15"/>
      <c r="F25" s="15"/>
      <c r="G25" s="15"/>
      <c r="I25" s="15"/>
      <c r="J25" s="51" t="s">
        <v>95</v>
      </c>
      <c r="K25" s="15"/>
      <c r="L25" s="15"/>
      <c r="M25" s="15"/>
      <c r="N25" s="52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</row>
    <row r="26" spans="1:37" s="49" customFormat="1" ht="16" x14ac:dyDescent="0.2">
      <c r="A26" s="15"/>
      <c r="B26" s="53"/>
      <c r="C26" s="15"/>
      <c r="D26" s="15"/>
      <c r="E26" s="15"/>
      <c r="F26" s="15"/>
      <c r="G26" s="15"/>
      <c r="I26" s="15"/>
      <c r="J26" s="54" t="str" cm="1">
        <f t="array" ref="J26:L40">_xlfn.CHOOSECOLS(Achats[],2,3,5)</f>
        <v>Camille Dubois</v>
      </c>
      <c r="K26" s="52" t="str">
        <v>Nord</v>
      </c>
      <c r="L26" s="52" t="str">
        <v>Ramette papier A4</v>
      </c>
      <c r="M26" s="15"/>
      <c r="N26" s="52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</row>
    <row r="27" spans="1:37" s="49" customFormat="1" ht="16" x14ac:dyDescent="0.2">
      <c r="A27" s="15"/>
      <c r="B27" s="15"/>
      <c r="C27" s="15"/>
      <c r="D27" s="15"/>
      <c r="E27" s="15"/>
      <c r="F27" s="15"/>
      <c r="G27" s="15"/>
      <c r="I27" s="15"/>
      <c r="J27" s="52" t="str">
        <v>Karim Haddad</v>
      </c>
      <c r="K27" s="52" t="str">
        <v>Sud</v>
      </c>
      <c r="L27" s="52" t="str">
        <v>Cartouche encre</v>
      </c>
      <c r="M27" s="52"/>
      <c r="N27" s="52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</row>
    <row r="28" spans="1:37" s="49" customFormat="1" ht="16" x14ac:dyDescent="0.2">
      <c r="A28" s="15"/>
      <c r="B28" s="15"/>
      <c r="C28" s="15"/>
      <c r="D28" s="15"/>
      <c r="E28" s="15"/>
      <c r="F28" s="15"/>
      <c r="G28" s="15"/>
      <c r="I28" s="15"/>
      <c r="J28" s="52" t="str">
        <v>Léa Fontaine</v>
      </c>
      <c r="K28" s="52" t="str">
        <v>Est</v>
      </c>
      <c r="L28" s="52" t="str">
        <v>Classeur A4</v>
      </c>
      <c r="M28" s="52"/>
      <c r="N28" s="52"/>
      <c r="O28" s="52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</row>
    <row r="29" spans="1:37" s="49" customFormat="1" ht="16" x14ac:dyDescent="0.2">
      <c r="A29" s="15"/>
      <c r="B29" s="15"/>
      <c r="C29" s="15"/>
      <c r="D29" s="15"/>
      <c r="E29" s="15"/>
      <c r="F29" s="15"/>
      <c r="G29" s="15"/>
      <c r="I29" s="15"/>
      <c r="J29" s="52" t="str">
        <v>Julien Morel</v>
      </c>
      <c r="K29" s="52" t="str">
        <v>Ouest</v>
      </c>
      <c r="L29" s="52" t="str">
        <v>Agrafeuse</v>
      </c>
      <c r="M29" s="52"/>
      <c r="N29" s="52"/>
      <c r="O29" s="52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</row>
    <row r="30" spans="1:37" s="49" customFormat="1" ht="16" x14ac:dyDescent="0.2">
      <c r="A30" s="15"/>
      <c r="B30" s="15"/>
      <c r="C30" s="15"/>
      <c r="D30" s="15"/>
      <c r="E30" s="15"/>
      <c r="F30" s="15"/>
      <c r="G30" s="15"/>
      <c r="I30" s="15"/>
      <c r="J30" s="52" t="str">
        <v>Sophie Bernard</v>
      </c>
      <c r="K30" s="52" t="str">
        <v>Nord</v>
      </c>
      <c r="L30" s="52" t="str">
        <v>Bureau réglable</v>
      </c>
      <c r="M30" s="52"/>
      <c r="N30" s="52"/>
      <c r="O30" s="52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</row>
    <row r="31" spans="1:37" s="49" customFormat="1" ht="16" x14ac:dyDescent="0.2">
      <c r="A31" s="15"/>
      <c r="B31" s="15"/>
      <c r="C31" s="15"/>
      <c r="D31" s="15"/>
      <c r="E31" s="15"/>
      <c r="F31" s="15"/>
      <c r="G31" s="15"/>
      <c r="I31" s="15"/>
      <c r="J31" s="52" t="str">
        <v>Camille Dubois</v>
      </c>
      <c r="K31" s="52" t="str">
        <v>Sud</v>
      </c>
      <c r="L31" s="52" t="str">
        <v>Chaise ergonomique</v>
      </c>
      <c r="M31" s="52"/>
      <c r="N31" s="52"/>
      <c r="O31" s="52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</row>
    <row r="32" spans="1:37" s="49" customFormat="1" ht="16" x14ac:dyDescent="0.2">
      <c r="A32" s="15"/>
      <c r="B32" s="15"/>
      <c r="C32" s="15"/>
      <c r="D32" s="15"/>
      <c r="E32" s="15"/>
      <c r="F32" s="15"/>
      <c r="G32" s="15"/>
      <c r="I32" s="15"/>
      <c r="J32" s="52" t="str">
        <v>Karim Haddad</v>
      </c>
      <c r="K32" s="52" t="str">
        <v>Est</v>
      </c>
      <c r="L32" s="52" t="str">
        <v>Caisson à roulettes</v>
      </c>
      <c r="M32" s="52"/>
      <c r="N32" s="52"/>
      <c r="O32" s="52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</row>
    <row r="33" spans="1:37" s="49" customFormat="1" ht="16" x14ac:dyDescent="0.2">
      <c r="A33" s="15"/>
      <c r="B33" s="15"/>
      <c r="C33" s="15"/>
      <c r="D33" s="15"/>
      <c r="E33" s="15"/>
      <c r="F33" s="15"/>
      <c r="G33" s="15"/>
      <c r="I33" s="15"/>
      <c r="J33" s="52" t="str">
        <v>Léa Fontaine</v>
      </c>
      <c r="K33" s="52" t="str">
        <v>Ouest</v>
      </c>
      <c r="L33" s="52" t="str">
        <v>Armoire basse</v>
      </c>
      <c r="M33" s="52"/>
      <c r="N33" s="52"/>
      <c r="O33" s="52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</row>
    <row r="34" spans="1:37" s="49" customFormat="1" ht="16" x14ac:dyDescent="0.2">
      <c r="A34" s="15"/>
      <c r="B34" s="15"/>
      <c r="C34" s="15"/>
      <c r="D34" s="15"/>
      <c r="E34" s="15"/>
      <c r="F34" s="15"/>
      <c r="G34" s="15"/>
      <c r="I34" s="15"/>
      <c r="J34" s="52" t="str">
        <v>Julien Morel</v>
      </c>
      <c r="K34" s="52" t="str">
        <v>Nord</v>
      </c>
      <c r="L34" s="52" t="str">
        <v>Écran 24 pouces</v>
      </c>
      <c r="M34" s="52"/>
      <c r="N34" s="52"/>
      <c r="O34" s="52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</row>
    <row r="35" spans="1:37" s="49" customFormat="1" ht="16" x14ac:dyDescent="0.2">
      <c r="A35" s="15"/>
      <c r="B35" s="15"/>
      <c r="C35" s="15"/>
      <c r="D35" s="15"/>
      <c r="E35" s="15"/>
      <c r="F35" s="15"/>
      <c r="G35" s="15"/>
      <c r="I35" s="15"/>
      <c r="J35" s="52" t="str">
        <v>Sophie Bernard</v>
      </c>
      <c r="K35" s="52" t="str">
        <v>Sud</v>
      </c>
      <c r="L35" s="52" t="str">
        <v>Clavier sans fil</v>
      </c>
      <c r="M35" s="52"/>
      <c r="N35" s="52"/>
      <c r="O35" s="52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</row>
    <row r="36" spans="1:37" s="49" customFormat="1" ht="16" x14ac:dyDescent="0.2">
      <c r="A36" s="15"/>
      <c r="B36" s="15"/>
      <c r="C36" s="15"/>
      <c r="D36" s="15"/>
      <c r="E36" s="15"/>
      <c r="F36" s="15"/>
      <c r="G36" s="15"/>
      <c r="I36" s="15"/>
      <c r="J36" s="52" t="str">
        <v>Camille Dubois</v>
      </c>
      <c r="K36" s="52" t="str">
        <v>Est</v>
      </c>
      <c r="L36" s="52" t="str">
        <v>Souris optique</v>
      </c>
      <c r="M36" s="52"/>
      <c r="N36" s="52"/>
      <c r="O36" s="52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</row>
    <row r="37" spans="1:37" s="49" customFormat="1" ht="16" x14ac:dyDescent="0.2">
      <c r="A37" s="15"/>
      <c r="B37" s="15"/>
      <c r="C37" s="15"/>
      <c r="D37" s="15"/>
      <c r="E37" s="15"/>
      <c r="F37" s="15"/>
      <c r="G37" s="15"/>
      <c r="I37" s="15"/>
      <c r="J37" s="52" t="str">
        <v>Karim Haddad</v>
      </c>
      <c r="K37" s="52" t="str">
        <v>Ouest</v>
      </c>
      <c r="L37" s="52" t="str">
        <v>Casque USB</v>
      </c>
      <c r="M37" s="52"/>
      <c r="N37" s="52"/>
      <c r="O37" s="52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</row>
    <row r="38" spans="1:37" s="49" customFormat="1" ht="16" x14ac:dyDescent="0.2">
      <c r="A38" s="15"/>
      <c r="B38" s="15"/>
      <c r="C38" s="15"/>
      <c r="D38" s="15"/>
      <c r="E38" s="15"/>
      <c r="F38" s="15"/>
      <c r="G38" s="15"/>
      <c r="I38" s="15"/>
      <c r="J38" s="52" t="str">
        <v>Léa Fontaine</v>
      </c>
      <c r="K38" s="52" t="str">
        <v>Nord</v>
      </c>
      <c r="L38" s="52" t="str">
        <v>Stylos (boîte de 10)</v>
      </c>
      <c r="M38" s="52"/>
      <c r="N38" s="52"/>
      <c r="O38" s="52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</row>
    <row r="39" spans="1:37" s="49" customFormat="1" ht="16" x14ac:dyDescent="0.2">
      <c r="A39" s="15"/>
      <c r="B39" s="15"/>
      <c r="C39" s="15"/>
      <c r="D39" s="15"/>
      <c r="E39" s="15"/>
      <c r="F39" s="15"/>
      <c r="G39" s="15"/>
      <c r="I39" s="15"/>
      <c r="J39" s="52" t="str">
        <v>Julien Morel</v>
      </c>
      <c r="K39" s="52" t="str">
        <v>Sud</v>
      </c>
      <c r="L39" s="52" t="str">
        <v>Post-it</v>
      </c>
      <c r="M39" s="52"/>
      <c r="N39" s="52"/>
      <c r="O39" s="52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</row>
    <row r="40" spans="1:37" s="49" customFormat="1" ht="16" x14ac:dyDescent="0.2">
      <c r="A40" s="15"/>
      <c r="B40" s="15"/>
      <c r="C40" s="15"/>
      <c r="D40" s="15"/>
      <c r="E40" s="15"/>
      <c r="F40" s="15"/>
      <c r="G40" s="15"/>
      <c r="I40" s="15"/>
      <c r="J40" s="52" t="str">
        <v>Sophie Bernard</v>
      </c>
      <c r="K40" s="52" t="str">
        <v>Est</v>
      </c>
      <c r="L40" s="52" t="str">
        <v>Surligneurs</v>
      </c>
      <c r="M40" s="52"/>
      <c r="N40" s="52"/>
      <c r="O40" s="52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</row>
    <row r="41" spans="1:37" s="49" customFormat="1" x14ac:dyDescent="0.2">
      <c r="A41" s="15"/>
      <c r="B41" s="15"/>
      <c r="C41" s="15"/>
      <c r="D41" s="15"/>
      <c r="E41" s="15"/>
      <c r="F41" s="15"/>
      <c r="G41" s="15"/>
      <c r="I41" s="15"/>
      <c r="J41" s="52"/>
      <c r="K41" s="52"/>
      <c r="L41" s="52"/>
      <c r="M41" s="52"/>
      <c r="N41" s="52"/>
      <c r="O41" s="52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</row>
    <row r="42" spans="1:37" s="49" customFormat="1" x14ac:dyDescent="0.2">
      <c r="A42" s="15"/>
      <c r="B42" s="15"/>
      <c r="C42" s="15"/>
      <c r="D42" s="15"/>
      <c r="E42" s="15"/>
      <c r="F42" s="15"/>
      <c r="G42" s="15"/>
      <c r="I42" s="15"/>
      <c r="J42" s="52"/>
      <c r="K42" s="52"/>
      <c r="L42" s="52"/>
      <c r="M42" s="52"/>
      <c r="N42" s="52"/>
      <c r="O42" s="52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</row>
    <row r="43" spans="1:37" s="49" customFormat="1" x14ac:dyDescent="0.2">
      <c r="A43" s="48"/>
      <c r="B43" s="117" t="s">
        <v>162</v>
      </c>
      <c r="C43" s="117"/>
      <c r="D43" s="117"/>
      <c r="E43" s="117"/>
      <c r="F43" s="117"/>
      <c r="G43" s="117"/>
      <c r="H43" s="118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</row>
    <row r="44" spans="1:37" s="49" customFormat="1" ht="16" x14ac:dyDescent="0.2">
      <c r="A44" s="15"/>
      <c r="B44" s="15"/>
      <c r="C44" s="15"/>
      <c r="D44" s="15"/>
      <c r="E44" s="15"/>
      <c r="F44" s="15"/>
      <c r="G44" s="15"/>
      <c r="I44" s="15"/>
      <c r="J44" s="51" t="s">
        <v>95</v>
      </c>
      <c r="K44" s="15"/>
      <c r="L44" s="15"/>
      <c r="M44" s="51" t="s">
        <v>152</v>
      </c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</row>
    <row r="45" spans="1:37" ht="16" x14ac:dyDescent="0.2">
      <c r="B45" s="53"/>
      <c r="J45" s="54" t="str" cm="1">
        <f t="array" ref="J45:K59">_xlfn.CHOOSECOLS(Achats[],-2,-1)</f>
        <v>Ramette papier A4</v>
      </c>
      <c r="K45" s="52">
        <v>54</v>
      </c>
      <c r="M45" s="54" t="str" cm="1">
        <f t="array" ref="M45:N59">_xlfn.CHOOSECOLS(Achats[],5,6)</f>
        <v>Ramette papier A4</v>
      </c>
      <c r="N45" s="52">
        <v>54</v>
      </c>
    </row>
    <row r="46" spans="1:37" ht="16" x14ac:dyDescent="0.2">
      <c r="J46" s="52" t="str">
        <v>Cartouche encre</v>
      </c>
      <c r="K46" s="52">
        <v>267</v>
      </c>
      <c r="L46" s="52"/>
      <c r="M46" s="52" t="str">
        <v>Cartouche encre</v>
      </c>
      <c r="N46" s="52">
        <v>267</v>
      </c>
      <c r="O46" s="52"/>
    </row>
    <row r="47" spans="1:37" ht="16" x14ac:dyDescent="0.2">
      <c r="J47" s="52" t="str">
        <v>Classeur A4</v>
      </c>
      <c r="K47" s="52">
        <v>80</v>
      </c>
      <c r="L47" s="52"/>
      <c r="M47" s="52" t="str">
        <v>Classeur A4</v>
      </c>
      <c r="N47" s="52">
        <v>80</v>
      </c>
      <c r="O47" s="52"/>
    </row>
    <row r="48" spans="1:37" ht="16" x14ac:dyDescent="0.2">
      <c r="J48" s="52" t="str">
        <v>Agrafeuse</v>
      </c>
      <c r="K48" s="52">
        <v>55.2</v>
      </c>
      <c r="L48" s="52"/>
      <c r="M48" s="52" t="str">
        <v>Agrafeuse</v>
      </c>
      <c r="N48" s="52">
        <v>55.2</v>
      </c>
      <c r="O48" s="52"/>
    </row>
    <row r="49" spans="1:37" ht="16" x14ac:dyDescent="0.2">
      <c r="J49" s="52" t="str">
        <v>Bureau réglable</v>
      </c>
      <c r="K49" s="52">
        <v>640</v>
      </c>
      <c r="L49" s="52"/>
      <c r="M49" s="52" t="str">
        <v>Bureau réglable</v>
      </c>
      <c r="N49" s="52">
        <v>640</v>
      </c>
      <c r="O49" s="52"/>
    </row>
    <row r="50" spans="1:37" ht="16" x14ac:dyDescent="0.2">
      <c r="J50" s="52" t="str">
        <v>Chaise ergonomique</v>
      </c>
      <c r="K50" s="52">
        <v>725</v>
      </c>
      <c r="L50" s="52"/>
      <c r="M50" s="52" t="str">
        <v>Chaise ergonomique</v>
      </c>
      <c r="N50" s="52">
        <v>725</v>
      </c>
      <c r="O50" s="52"/>
    </row>
    <row r="51" spans="1:37" ht="16" x14ac:dyDescent="0.2">
      <c r="J51" s="52" t="str">
        <v>Caisson à roulettes</v>
      </c>
      <c r="K51" s="52">
        <v>312</v>
      </c>
      <c r="L51" s="52"/>
      <c r="M51" s="52" t="str">
        <v>Caisson à roulettes</v>
      </c>
      <c r="N51" s="52">
        <v>312</v>
      </c>
      <c r="O51" s="52"/>
    </row>
    <row r="52" spans="1:37" ht="16" x14ac:dyDescent="0.2">
      <c r="J52" s="52" t="str">
        <v>Armoire basse</v>
      </c>
      <c r="K52" s="52">
        <v>410</v>
      </c>
      <c r="L52" s="52"/>
      <c r="M52" s="52" t="str">
        <v>Armoire basse</v>
      </c>
      <c r="N52" s="52">
        <v>410</v>
      </c>
      <c r="O52" s="52"/>
    </row>
    <row r="53" spans="1:37" ht="16" x14ac:dyDescent="0.2">
      <c r="J53" s="52" t="str">
        <v>Écran 24 pouces</v>
      </c>
      <c r="K53" s="52">
        <v>954</v>
      </c>
      <c r="L53" s="52"/>
      <c r="M53" s="52" t="str">
        <v>Écran 24 pouces</v>
      </c>
      <c r="N53" s="52">
        <v>954</v>
      </c>
      <c r="O53" s="52"/>
    </row>
    <row r="54" spans="1:37" ht="16" x14ac:dyDescent="0.2">
      <c r="J54" s="52" t="str">
        <v>Clavier sans fil</v>
      </c>
      <c r="K54" s="52">
        <v>240</v>
      </c>
      <c r="L54" s="52"/>
      <c r="M54" s="52" t="str">
        <v>Clavier sans fil</v>
      </c>
      <c r="N54" s="52">
        <v>240</v>
      </c>
      <c r="O54" s="52"/>
    </row>
    <row r="55" spans="1:37" ht="16" x14ac:dyDescent="0.2">
      <c r="J55" s="52" t="str">
        <v>Souris optique</v>
      </c>
      <c r="K55" s="52">
        <v>142.5</v>
      </c>
      <c r="L55" s="52"/>
      <c r="M55" s="52" t="str">
        <v>Souris optique</v>
      </c>
      <c r="N55" s="52">
        <v>142.5</v>
      </c>
      <c r="O55" s="52"/>
    </row>
    <row r="56" spans="1:37" ht="16" x14ac:dyDescent="0.2">
      <c r="J56" s="52" t="str">
        <v>Casque USB</v>
      </c>
      <c r="K56" s="52">
        <v>273</v>
      </c>
      <c r="L56" s="52"/>
      <c r="M56" s="52" t="str">
        <v>Casque USB</v>
      </c>
      <c r="N56" s="52">
        <v>273</v>
      </c>
      <c r="O56" s="52"/>
    </row>
    <row r="57" spans="1:37" ht="16" x14ac:dyDescent="0.2">
      <c r="J57" s="52" t="str">
        <v>Stylos (boîte de 10)</v>
      </c>
      <c r="K57" s="52">
        <v>110</v>
      </c>
      <c r="L57" s="52"/>
      <c r="M57" s="52" t="str">
        <v>Stylos (boîte de 10)</v>
      </c>
      <c r="N57" s="52">
        <v>110</v>
      </c>
      <c r="O57" s="52"/>
    </row>
    <row r="58" spans="1:37" ht="16" x14ac:dyDescent="0.2">
      <c r="J58" s="52" t="str">
        <v>Post-it</v>
      </c>
      <c r="K58" s="52">
        <v>63</v>
      </c>
      <c r="L58" s="52"/>
      <c r="M58" s="52" t="str">
        <v>Post-it</v>
      </c>
      <c r="N58" s="52">
        <v>63</v>
      </c>
      <c r="O58" s="52"/>
    </row>
    <row r="59" spans="1:37" ht="16" x14ac:dyDescent="0.2">
      <c r="J59" s="52" t="str">
        <v>Surligneurs</v>
      </c>
      <c r="K59" s="52">
        <v>68.399999999999991</v>
      </c>
      <c r="L59" s="52"/>
      <c r="M59" s="52" t="str">
        <v>Surligneurs</v>
      </c>
      <c r="N59" s="52">
        <v>68.399999999999991</v>
      </c>
      <c r="O59" s="52"/>
    </row>
    <row r="60" spans="1:37" x14ac:dyDescent="0.2">
      <c r="J60" s="52"/>
      <c r="K60" s="52"/>
      <c r="L60" s="52"/>
      <c r="M60" s="52"/>
      <c r="N60" s="52"/>
      <c r="O60" s="52"/>
    </row>
    <row r="61" spans="1:37" x14ac:dyDescent="0.2">
      <c r="J61" s="52"/>
      <c r="K61" s="52"/>
      <c r="L61" s="52"/>
      <c r="M61" s="52"/>
      <c r="N61" s="52"/>
      <c r="O61" s="52"/>
    </row>
    <row r="62" spans="1:37" s="49" customFormat="1" x14ac:dyDescent="0.2">
      <c r="A62" s="48"/>
      <c r="B62" s="117" t="s">
        <v>160</v>
      </c>
      <c r="C62" s="117"/>
      <c r="D62" s="117"/>
      <c r="E62" s="117"/>
      <c r="F62" s="117"/>
      <c r="G62" s="117"/>
      <c r="H62" s="118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</row>
    <row r="63" spans="1:37" s="49" customFormat="1" x14ac:dyDescent="0.2">
      <c r="A63" s="15"/>
      <c r="B63" s="116" t="s">
        <v>190</v>
      </c>
      <c r="C63" s="116"/>
      <c r="D63" s="116"/>
      <c r="E63" s="116"/>
      <c r="F63" s="116"/>
      <c r="G63" s="116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</row>
    <row r="64" spans="1:37" s="49" customFormat="1" ht="16" x14ac:dyDescent="0.2">
      <c r="A64" s="15"/>
      <c r="B64" s="15"/>
      <c r="C64" s="15"/>
      <c r="D64" s="15"/>
      <c r="E64" s="15"/>
      <c r="F64" s="15"/>
      <c r="G64" s="15"/>
      <c r="I64" s="15"/>
      <c r="J64" s="51" t="s">
        <v>95</v>
      </c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</row>
    <row r="65" spans="1:37" s="49" customFormat="1" ht="16" x14ac:dyDescent="0.2">
      <c r="A65" s="15"/>
      <c r="B65" s="53"/>
      <c r="C65" s="15"/>
      <c r="D65" s="15"/>
      <c r="E65" s="15"/>
      <c r="F65" s="15"/>
      <c r="G65" s="15"/>
      <c r="I65" s="15"/>
      <c r="J65" s="54" cm="1">
        <f t="array" ref="J65:O66">_xlfn.CHOOSEROWS(Achats[],1,-1)</f>
        <v>1</v>
      </c>
      <c r="K65" s="52" t="str">
        <v>Camille Dubois</v>
      </c>
      <c r="L65" s="52" t="str">
        <v>Nord</v>
      </c>
      <c r="M65" s="52" t="str">
        <v>Bureautique</v>
      </c>
      <c r="N65" s="52" t="str">
        <v>Ramette papier A4</v>
      </c>
      <c r="O65" s="52">
        <v>54</v>
      </c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</row>
    <row r="66" spans="1:37" s="49" customFormat="1" ht="16" x14ac:dyDescent="0.2">
      <c r="A66" s="15"/>
      <c r="B66" s="15"/>
      <c r="C66" s="15"/>
      <c r="D66" s="15"/>
      <c r="E66" s="15"/>
      <c r="F66" s="15"/>
      <c r="G66" s="15"/>
      <c r="I66" s="15"/>
      <c r="J66" s="52">
        <v>15</v>
      </c>
      <c r="K66" s="52" t="str">
        <v>Sophie Bernard</v>
      </c>
      <c r="L66" s="52" t="str">
        <v>Est</v>
      </c>
      <c r="M66" s="52" t="str">
        <v>Fournitures</v>
      </c>
      <c r="N66" s="52" t="str">
        <v>Surligneurs</v>
      </c>
      <c r="O66" s="52">
        <v>68.399999999999991</v>
      </c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</row>
    <row r="67" spans="1:37" s="49" customFormat="1" x14ac:dyDescent="0.2">
      <c r="A67" s="15"/>
      <c r="B67" s="15"/>
      <c r="C67" s="15"/>
      <c r="D67" s="15"/>
      <c r="E67" s="15"/>
      <c r="F67" s="15"/>
      <c r="G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</row>
    <row r="68" spans="1:37" s="49" customFormat="1" x14ac:dyDescent="0.2">
      <c r="A68" s="15"/>
      <c r="B68" s="15"/>
      <c r="C68" s="15"/>
      <c r="D68" s="15"/>
      <c r="E68" s="15"/>
      <c r="F68" s="15"/>
      <c r="G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</row>
    <row r="69" spans="1:37" s="49" customFormat="1" x14ac:dyDescent="0.2">
      <c r="A69" s="48"/>
      <c r="B69" s="117" t="s">
        <v>161</v>
      </c>
      <c r="C69" s="117"/>
      <c r="D69" s="117"/>
      <c r="E69" s="117"/>
      <c r="F69" s="117"/>
      <c r="G69" s="117"/>
      <c r="H69" s="118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</row>
    <row r="70" spans="1:37" x14ac:dyDescent="0.2">
      <c r="B70" s="116" t="s">
        <v>191</v>
      </c>
      <c r="C70" s="116"/>
      <c r="D70" s="116"/>
      <c r="E70" s="116"/>
      <c r="F70" s="116"/>
      <c r="G70" s="116"/>
    </row>
    <row r="71" spans="1:37" ht="16" x14ac:dyDescent="0.2">
      <c r="J71" s="51" t="s">
        <v>95</v>
      </c>
    </row>
    <row r="72" spans="1:37" ht="16" x14ac:dyDescent="0.2">
      <c r="B72" s="55" t="s">
        <v>85</v>
      </c>
      <c r="J72" s="56" t="s">
        <v>85</v>
      </c>
    </row>
    <row r="73" spans="1:37" x14ac:dyDescent="0.2">
      <c r="B73" s="53"/>
      <c r="J73" s="54" cm="1">
        <f t="array" ref="J73:J87">_xlfn.CHOOSECOLS(Achats[],_xlfn.XMATCH(J72,Achats[#Headers]))</f>
        <v>54</v>
      </c>
    </row>
    <row r="74" spans="1:37" x14ac:dyDescent="0.2">
      <c r="J74" s="52">
        <v>267</v>
      </c>
    </row>
    <row r="75" spans="1:37" x14ac:dyDescent="0.2">
      <c r="J75" s="52">
        <v>80</v>
      </c>
    </row>
    <row r="76" spans="1:37" x14ac:dyDescent="0.2">
      <c r="J76" s="52">
        <v>55.2</v>
      </c>
      <c r="N76"/>
      <c r="O76"/>
      <c r="P76"/>
      <c r="Q76"/>
    </row>
    <row r="77" spans="1:37" x14ac:dyDescent="0.2">
      <c r="J77" s="52">
        <v>640</v>
      </c>
    </row>
    <row r="78" spans="1:37" x14ac:dyDescent="0.2">
      <c r="J78" s="52">
        <v>725</v>
      </c>
    </row>
    <row r="79" spans="1:37" x14ac:dyDescent="0.2">
      <c r="J79" s="52">
        <v>312</v>
      </c>
    </row>
    <row r="80" spans="1:37" x14ac:dyDescent="0.2">
      <c r="J80" s="52">
        <v>410</v>
      </c>
    </row>
    <row r="81" spans="10:10" x14ac:dyDescent="0.2">
      <c r="J81" s="52">
        <v>954</v>
      </c>
    </row>
    <row r="82" spans="10:10" x14ac:dyDescent="0.2">
      <c r="J82" s="52">
        <v>240</v>
      </c>
    </row>
    <row r="83" spans="10:10" x14ac:dyDescent="0.2">
      <c r="J83" s="52">
        <v>142.5</v>
      </c>
    </row>
    <row r="84" spans="10:10" x14ac:dyDescent="0.2">
      <c r="J84" s="52">
        <v>273</v>
      </c>
    </row>
    <row r="85" spans="10:10" x14ac:dyDescent="0.2">
      <c r="J85" s="52">
        <v>110</v>
      </c>
    </row>
    <row r="86" spans="10:10" x14ac:dyDescent="0.2">
      <c r="J86" s="52">
        <v>63</v>
      </c>
    </row>
    <row r="87" spans="10:10" x14ac:dyDescent="0.2">
      <c r="J87" s="52">
        <v>68.399999999999991</v>
      </c>
    </row>
  </sheetData>
  <mergeCells count="9">
    <mergeCell ref="B70:G70"/>
    <mergeCell ref="B63:G63"/>
    <mergeCell ref="B69:H69"/>
    <mergeCell ref="A1:H1"/>
    <mergeCell ref="B3:H3"/>
    <mergeCell ref="B23:H23"/>
    <mergeCell ref="B24:G24"/>
    <mergeCell ref="B43:H43"/>
    <mergeCell ref="B62:H62"/>
  </mergeCells>
  <phoneticPr fontId="7" type="noConversion"/>
  <pageMargins left="0.75" right="0.75" top="1" bottom="1" header="0.5" footer="0.5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CB925-1778-6D41-A13A-9A5C0720ED7A}">
  <sheetPr>
    <tabColor theme="8" tint="0.79998168889431442"/>
  </sheetPr>
  <dimension ref="A1:AL38"/>
  <sheetViews>
    <sheetView showGridLines="0" workbookViewId="0">
      <pane ySplit="1" topLeftCell="A2" activePane="bottomLeft" state="frozen"/>
      <selection activeCell="C13" sqref="C13"/>
      <selection pane="bottomLeft" activeCell="B14" sqref="B14"/>
    </sheetView>
  </sheetViews>
  <sheetFormatPr baseColWidth="10" defaultColWidth="8.83203125" defaultRowHeight="15" x14ac:dyDescent="0.2"/>
  <cols>
    <col min="1" max="1" width="2.83203125" style="15" customWidth="1"/>
    <col min="2" max="3" width="20.83203125" style="15" customWidth="1"/>
    <col min="4" max="4" width="15.83203125" style="15" customWidth="1"/>
    <col min="5" max="7" width="20.83203125" style="15" customWidth="1"/>
    <col min="8" max="8" width="15.83203125" style="15" customWidth="1"/>
    <col min="9" max="9" width="2.83203125" style="49" customWidth="1"/>
    <col min="10" max="10" width="2.83203125" style="15" customWidth="1"/>
    <col min="11" max="16" width="20.83203125" style="15" customWidth="1"/>
    <col min="17" max="19" width="8.83203125" style="15"/>
    <col min="20" max="20" width="8.83203125" style="15" customWidth="1"/>
    <col min="21" max="16384" width="8.83203125" style="15"/>
  </cols>
  <sheetData>
    <row r="1" spans="1:38" ht="19" x14ac:dyDescent="0.2">
      <c r="A1" s="119" t="s">
        <v>90</v>
      </c>
      <c r="B1" s="119"/>
      <c r="C1" s="119"/>
      <c r="D1" s="119"/>
      <c r="E1" s="119"/>
      <c r="F1" s="119"/>
      <c r="G1" s="119"/>
      <c r="H1" s="119"/>
      <c r="I1" s="119"/>
    </row>
    <row r="3" spans="1:38" x14ac:dyDescent="0.2">
      <c r="A3" s="48"/>
      <c r="B3" s="117" t="s">
        <v>172</v>
      </c>
      <c r="C3" s="117"/>
      <c r="D3" s="117"/>
      <c r="E3" s="117"/>
      <c r="F3" s="117"/>
      <c r="G3" s="117"/>
      <c r="H3" s="117"/>
      <c r="I3" s="118"/>
    </row>
    <row r="4" spans="1:38" s="49" customFormat="1" x14ac:dyDescent="0.2">
      <c r="A4" s="15"/>
      <c r="B4" s="124" t="s">
        <v>192</v>
      </c>
      <c r="C4" s="116"/>
      <c r="D4" s="116"/>
      <c r="E4" s="116"/>
      <c r="F4" s="116"/>
      <c r="G4" s="116"/>
      <c r="H4" s="116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</row>
    <row r="5" spans="1:38" s="49" customFormat="1" x14ac:dyDescent="0.2">
      <c r="A5" s="15"/>
      <c r="B5" s="122" t="s">
        <v>193</v>
      </c>
      <c r="C5" s="123"/>
      <c r="D5" s="123"/>
      <c r="E5" s="123"/>
      <c r="F5" s="123"/>
      <c r="G5" s="123"/>
      <c r="H5" s="123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</row>
    <row r="6" spans="1:38" s="49" customFormat="1" x14ac:dyDescent="0.2">
      <c r="A6" s="15"/>
      <c r="B6" s="15"/>
      <c r="C6" s="15"/>
      <c r="D6" s="15"/>
      <c r="E6" s="15"/>
      <c r="F6" s="15"/>
      <c r="G6" s="15"/>
      <c r="H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</row>
    <row r="7" spans="1:38" s="49" customFormat="1" x14ac:dyDescent="0.2">
      <c r="A7" s="15"/>
      <c r="B7" s="57" t="s">
        <v>141</v>
      </c>
      <c r="C7" s="58"/>
      <c r="D7" s="15"/>
      <c r="E7" s="15"/>
      <c r="F7" s="57" t="s">
        <v>142</v>
      </c>
      <c r="G7" s="58"/>
      <c r="H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</row>
    <row r="8" spans="1:38" s="49" customFormat="1" ht="16" x14ac:dyDescent="0.2">
      <c r="A8" s="15"/>
      <c r="B8" s="14" t="s">
        <v>35</v>
      </c>
      <c r="C8" s="14" t="s">
        <v>37</v>
      </c>
      <c r="D8" s="14" t="s">
        <v>85</v>
      </c>
      <c r="E8" s="15"/>
      <c r="F8" s="14" t="s">
        <v>35</v>
      </c>
      <c r="G8" s="14" t="s">
        <v>37</v>
      </c>
      <c r="H8" s="14" t="s">
        <v>85</v>
      </c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</row>
    <row r="9" spans="1:38" s="49" customFormat="1" x14ac:dyDescent="0.2">
      <c r="A9" s="15"/>
      <c r="B9" s="13" t="s">
        <v>39</v>
      </c>
      <c r="C9" s="13" t="s">
        <v>59</v>
      </c>
      <c r="D9" s="27">
        <v>954</v>
      </c>
      <c r="E9" s="15"/>
      <c r="F9" s="13" t="s">
        <v>43</v>
      </c>
      <c r="G9" s="13" t="s">
        <v>55</v>
      </c>
      <c r="H9" s="27">
        <v>725</v>
      </c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</row>
    <row r="10" spans="1:38" s="49" customFormat="1" x14ac:dyDescent="0.2">
      <c r="A10" s="15"/>
      <c r="B10" s="13" t="s">
        <v>46</v>
      </c>
      <c r="C10" s="13" t="s">
        <v>54</v>
      </c>
      <c r="D10" s="27">
        <v>640</v>
      </c>
      <c r="E10" s="15"/>
      <c r="F10" s="13" t="s">
        <v>52</v>
      </c>
      <c r="G10" s="13" t="s">
        <v>60</v>
      </c>
      <c r="H10" s="27">
        <v>240</v>
      </c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</row>
    <row r="11" spans="1:38" s="49" customFormat="1" x14ac:dyDescent="0.2">
      <c r="A11" s="15"/>
      <c r="B11" s="13" t="s">
        <v>39</v>
      </c>
      <c r="C11" s="13" t="s">
        <v>42</v>
      </c>
      <c r="D11" s="27">
        <v>54</v>
      </c>
      <c r="E11" s="15"/>
      <c r="F11" s="15"/>
      <c r="G11" s="15"/>
      <c r="H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</row>
    <row r="12" spans="1:38" s="49" customFormat="1" x14ac:dyDescent="0.2">
      <c r="A12" s="15"/>
      <c r="B12" s="15"/>
      <c r="C12" s="15"/>
      <c r="D12" s="15"/>
      <c r="E12" s="15"/>
      <c r="F12" s="15"/>
      <c r="G12" s="15"/>
      <c r="H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</row>
    <row r="13" spans="1:38" s="49" customFormat="1" ht="16" x14ac:dyDescent="0.2">
      <c r="A13" s="15"/>
      <c r="B13" s="15"/>
      <c r="C13" s="15"/>
      <c r="D13" s="15"/>
      <c r="E13" s="15"/>
      <c r="F13" s="15"/>
      <c r="G13" s="15"/>
      <c r="H13" s="15"/>
      <c r="J13" s="15"/>
      <c r="K13" s="51" t="s">
        <v>95</v>
      </c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</row>
    <row r="14" spans="1:38" s="49" customFormat="1" ht="16" x14ac:dyDescent="0.2">
      <c r="A14" s="15"/>
      <c r="B14" s="53"/>
      <c r="C14" s="15"/>
      <c r="D14" s="15"/>
      <c r="E14" s="15"/>
      <c r="F14" s="15"/>
      <c r="G14" s="15"/>
      <c r="H14" s="15"/>
      <c r="J14" s="15"/>
      <c r="K14" s="54" t="str" cm="1">
        <f t="array" ref="K14:M18">_xlfn.VSTACK(Ventes_Nord[],Ventes_Sud[])</f>
        <v>Camille Dubois</v>
      </c>
      <c r="L14" s="52" t="str">
        <v>Écran 24 pouces</v>
      </c>
      <c r="M14" s="52">
        <v>954</v>
      </c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</row>
    <row r="15" spans="1:38" s="49" customFormat="1" ht="16" x14ac:dyDescent="0.2">
      <c r="A15" s="15"/>
      <c r="B15" s="15"/>
      <c r="C15" s="15"/>
      <c r="D15" s="15"/>
      <c r="E15" s="15"/>
      <c r="F15" s="15"/>
      <c r="G15" s="15"/>
      <c r="H15" s="15"/>
      <c r="J15" s="15"/>
      <c r="K15" s="52" t="str">
        <v>Léa Fontaine</v>
      </c>
      <c r="L15" s="52" t="str">
        <v>Bureau réglable</v>
      </c>
      <c r="M15" s="52">
        <v>640</v>
      </c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</row>
    <row r="16" spans="1:38" s="49" customFormat="1" ht="16" x14ac:dyDescent="0.2">
      <c r="A16" s="15"/>
      <c r="B16" s="15"/>
      <c r="C16" s="15"/>
      <c r="D16" s="15"/>
      <c r="E16" s="15"/>
      <c r="F16" s="15"/>
      <c r="G16" s="15"/>
      <c r="H16" s="15"/>
      <c r="J16" s="15"/>
      <c r="K16" s="52" t="str">
        <v>Camille Dubois</v>
      </c>
      <c r="L16" s="52" t="str">
        <v>Ramette papier A4</v>
      </c>
      <c r="M16" s="52">
        <v>54</v>
      </c>
      <c r="N16" s="52"/>
      <c r="O16" s="52"/>
      <c r="P16" s="52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</row>
    <row r="17" spans="1:38" s="49" customFormat="1" ht="16" x14ac:dyDescent="0.2">
      <c r="A17" s="15"/>
      <c r="B17" s="15"/>
      <c r="C17" s="15"/>
      <c r="D17" s="15"/>
      <c r="E17" s="15"/>
      <c r="F17" s="15"/>
      <c r="G17" s="15"/>
      <c r="H17" s="15"/>
      <c r="J17" s="15"/>
      <c r="K17" s="52" t="str">
        <v>Karim Haddad</v>
      </c>
      <c r="L17" s="52" t="str">
        <v>Chaise ergonomique</v>
      </c>
      <c r="M17" s="52">
        <v>725</v>
      </c>
      <c r="N17" s="52"/>
      <c r="O17" s="52"/>
      <c r="P17" s="52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</row>
    <row r="18" spans="1:38" s="49" customFormat="1" ht="16" x14ac:dyDescent="0.2">
      <c r="A18" s="15"/>
      <c r="B18" s="15"/>
      <c r="C18" s="15"/>
      <c r="D18" s="15"/>
      <c r="E18" s="15"/>
      <c r="F18" s="15"/>
      <c r="G18" s="15"/>
      <c r="H18" s="15"/>
      <c r="J18" s="15"/>
      <c r="K18" s="52" t="str">
        <v>Sophie Bernard</v>
      </c>
      <c r="L18" s="52" t="str">
        <v>Clavier sans fil</v>
      </c>
      <c r="M18" s="52">
        <v>240</v>
      </c>
      <c r="N18" s="52"/>
      <c r="O18" s="52"/>
      <c r="P18" s="52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</row>
    <row r="19" spans="1:38" s="49" customFormat="1" x14ac:dyDescent="0.2">
      <c r="A19" s="15"/>
      <c r="B19" s="15"/>
      <c r="C19" s="15"/>
      <c r="D19" s="15"/>
      <c r="E19" s="15"/>
      <c r="F19" s="15"/>
      <c r="G19" s="15"/>
      <c r="H19" s="15"/>
      <c r="J19" s="15"/>
      <c r="K19" s="52"/>
      <c r="L19" s="52"/>
      <c r="M19" s="52"/>
      <c r="N19" s="52"/>
      <c r="O19" s="52"/>
      <c r="P19" s="52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</row>
    <row r="20" spans="1:38" s="49" customFormat="1" x14ac:dyDescent="0.2">
      <c r="A20" s="15"/>
      <c r="B20" s="15"/>
      <c r="C20" s="15"/>
      <c r="D20" s="15"/>
      <c r="E20" s="15"/>
      <c r="F20" s="15"/>
      <c r="G20" s="15"/>
      <c r="H20" s="15"/>
      <c r="J20" s="15"/>
      <c r="K20" s="52"/>
      <c r="L20" s="52"/>
      <c r="M20" s="52"/>
      <c r="N20" s="52"/>
      <c r="O20" s="52"/>
      <c r="P20" s="52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</row>
    <row r="21" spans="1:38" s="49" customFormat="1" x14ac:dyDescent="0.2">
      <c r="A21" s="48"/>
      <c r="B21" s="117" t="s">
        <v>146</v>
      </c>
      <c r="C21" s="117"/>
      <c r="D21" s="117"/>
      <c r="E21" s="117"/>
      <c r="F21" s="117"/>
      <c r="G21" s="117"/>
      <c r="H21" s="117"/>
      <c r="I21" s="118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</row>
    <row r="22" spans="1:38" s="49" customFormat="1" x14ac:dyDescent="0.2">
      <c r="A22" s="15"/>
      <c r="B22" s="124" t="s">
        <v>194</v>
      </c>
      <c r="C22" s="116"/>
      <c r="D22" s="116"/>
      <c r="E22" s="116"/>
      <c r="F22" s="116"/>
      <c r="G22" s="116"/>
      <c r="H22" s="116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</row>
    <row r="23" spans="1:38" x14ac:dyDescent="0.2">
      <c r="B23" s="122" t="s">
        <v>195</v>
      </c>
      <c r="C23" s="123"/>
      <c r="D23" s="123"/>
      <c r="E23" s="123"/>
      <c r="F23" s="123"/>
      <c r="G23" s="123"/>
      <c r="H23" s="123"/>
    </row>
    <row r="25" spans="1:38" x14ac:dyDescent="0.2">
      <c r="B25" s="59" t="s">
        <v>139</v>
      </c>
      <c r="C25" s="59"/>
      <c r="F25" s="59" t="s">
        <v>140</v>
      </c>
      <c r="G25" s="59"/>
    </row>
    <row r="26" spans="1:38" ht="16" x14ac:dyDescent="0.2">
      <c r="B26" s="14" t="s">
        <v>2</v>
      </c>
      <c r="C26" s="14" t="s">
        <v>71</v>
      </c>
      <c r="D26" s="14" t="s">
        <v>143</v>
      </c>
      <c r="F26" s="14" t="s">
        <v>71</v>
      </c>
      <c r="G26" s="14" t="s">
        <v>3</v>
      </c>
      <c r="H26" s="14" t="s">
        <v>80</v>
      </c>
    </row>
    <row r="27" spans="1:38" x14ac:dyDescent="0.2">
      <c r="B27" s="13" t="s">
        <v>72</v>
      </c>
      <c r="C27" s="13" t="s">
        <v>73</v>
      </c>
      <c r="D27" s="13" t="s">
        <v>144</v>
      </c>
      <c r="F27" s="13" t="s">
        <v>73</v>
      </c>
      <c r="G27" s="13" t="s">
        <v>6</v>
      </c>
      <c r="H27" s="13" t="s">
        <v>81</v>
      </c>
    </row>
    <row r="28" spans="1:38" x14ac:dyDescent="0.2">
      <c r="B28" s="13" t="s">
        <v>74</v>
      </c>
      <c r="C28" s="13" t="s">
        <v>75</v>
      </c>
      <c r="D28" s="13" t="s">
        <v>145</v>
      </c>
      <c r="F28" s="13" t="s">
        <v>75</v>
      </c>
      <c r="G28" s="13" t="s">
        <v>9</v>
      </c>
      <c r="H28" s="13" t="s">
        <v>82</v>
      </c>
    </row>
    <row r="29" spans="1:38" x14ac:dyDescent="0.2">
      <c r="B29" s="13" t="s">
        <v>76</v>
      </c>
      <c r="C29" s="13" t="s">
        <v>77</v>
      </c>
      <c r="D29" s="13" t="s">
        <v>144</v>
      </c>
      <c r="F29" s="13" t="s">
        <v>77</v>
      </c>
      <c r="G29" s="13" t="s">
        <v>12</v>
      </c>
      <c r="H29" s="13" t="s">
        <v>83</v>
      </c>
    </row>
    <row r="30" spans="1:38" x14ac:dyDescent="0.2">
      <c r="B30" s="13" t="s">
        <v>78</v>
      </c>
      <c r="C30" s="13" t="s">
        <v>79</v>
      </c>
      <c r="D30" s="13" t="s">
        <v>145</v>
      </c>
      <c r="F30" s="13" t="s">
        <v>79</v>
      </c>
      <c r="G30" s="13" t="s">
        <v>15</v>
      </c>
      <c r="H30" s="13" t="s">
        <v>84</v>
      </c>
    </row>
    <row r="32" spans="1:38" ht="16" x14ac:dyDescent="0.2">
      <c r="K32" s="51" t="s">
        <v>95</v>
      </c>
    </row>
    <row r="33" spans="2:16" ht="16" x14ac:dyDescent="0.2">
      <c r="B33" s="53"/>
      <c r="K33" s="54" t="str" cm="1">
        <f t="array" ref="K33:P36">_xlfn.HSTACK(Identités[],Coordonnées[])</f>
        <v>Dubois</v>
      </c>
      <c r="L33" s="52" t="str">
        <v>Camille</v>
      </c>
      <c r="M33" s="52" t="str">
        <v>Femme</v>
      </c>
      <c r="N33" s="52" t="str">
        <v>Camille</v>
      </c>
      <c r="O33" s="52" t="str">
        <v>Metz</v>
      </c>
      <c r="P33" s="52" t="str">
        <v>03 87 00 00 01</v>
      </c>
    </row>
    <row r="34" spans="2:16" ht="16" x14ac:dyDescent="0.2">
      <c r="K34" s="52" t="str">
        <v>Haddad</v>
      </c>
      <c r="L34" s="52" t="str">
        <v>Karim</v>
      </c>
      <c r="M34" s="52" t="str">
        <v>Homme</v>
      </c>
      <c r="N34" s="52" t="str">
        <v>Karim</v>
      </c>
      <c r="O34" s="52" t="str">
        <v>Nancy</v>
      </c>
      <c r="P34" s="52" t="str">
        <v>03 83 00 00 02</v>
      </c>
    </row>
    <row r="35" spans="2:16" ht="16" x14ac:dyDescent="0.2">
      <c r="K35" s="52" t="str">
        <v>Fontaine</v>
      </c>
      <c r="L35" s="52" t="str">
        <v>Léa</v>
      </c>
      <c r="M35" s="52" t="str">
        <v>Femme</v>
      </c>
      <c r="N35" s="52" t="str">
        <v>Léa</v>
      </c>
      <c r="O35" s="52" t="str">
        <v>Strasbourg</v>
      </c>
      <c r="P35" s="52" t="str">
        <v>03 88 00 00 03</v>
      </c>
    </row>
    <row r="36" spans="2:16" ht="16" x14ac:dyDescent="0.2">
      <c r="K36" s="52" t="str">
        <v>Morel</v>
      </c>
      <c r="L36" s="52" t="str">
        <v>Julien</v>
      </c>
      <c r="M36" s="52" t="str">
        <v>Homme</v>
      </c>
      <c r="N36" s="52" t="str">
        <v>Julien</v>
      </c>
      <c r="O36" s="52" t="str">
        <v>Reims</v>
      </c>
      <c r="P36" s="52" t="str">
        <v>03 26 00 00 04</v>
      </c>
    </row>
    <row r="37" spans="2:16" x14ac:dyDescent="0.2">
      <c r="L37" s="52"/>
      <c r="M37" s="52"/>
      <c r="N37" s="52"/>
      <c r="O37" s="52"/>
      <c r="P37" s="52"/>
    </row>
    <row r="38" spans="2:16" x14ac:dyDescent="0.2">
      <c r="K38" s="52"/>
      <c r="L38" s="52"/>
      <c r="M38" s="52"/>
      <c r="N38" s="52"/>
      <c r="O38" s="52"/>
      <c r="P38" s="52"/>
    </row>
  </sheetData>
  <mergeCells count="7">
    <mergeCell ref="B5:H5"/>
    <mergeCell ref="B23:H23"/>
    <mergeCell ref="B22:H22"/>
    <mergeCell ref="A1:I1"/>
    <mergeCell ref="B3:I3"/>
    <mergeCell ref="B4:H4"/>
    <mergeCell ref="B21:I21"/>
  </mergeCells>
  <pageMargins left="0.75" right="0.75" top="1" bottom="1" header="0.5" footer="0.5"/>
  <tableParts count="4">
    <tablePart r:id="rId1"/>
    <tablePart r:id="rId2"/>
    <tablePart r:id="rId3"/>
    <tablePart r:id="rId4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BCAA7-FEE9-EC40-AFBE-81059E7DE8EF}">
  <sheetPr>
    <tabColor theme="8" tint="0.79998168889431442"/>
  </sheetPr>
  <dimension ref="A1:AM114"/>
  <sheetViews>
    <sheetView showGridLines="0" workbookViewId="0">
      <pane ySplit="5" topLeftCell="A6" activePane="bottomLeft" state="frozen"/>
      <selection activeCell="C13" sqref="C13"/>
      <selection pane="bottomLeft" activeCell="B35" sqref="B35"/>
    </sheetView>
  </sheetViews>
  <sheetFormatPr baseColWidth="10" defaultColWidth="8.83203125" defaultRowHeight="15" x14ac:dyDescent="0.2"/>
  <cols>
    <col min="1" max="1" width="2.83203125" style="15" customWidth="1"/>
    <col min="2" max="8" width="20.83203125" style="15" customWidth="1"/>
    <col min="9" max="9" width="2.83203125" style="49" customWidth="1"/>
    <col min="10" max="10" width="2.83203125" style="15" customWidth="1"/>
    <col min="11" max="17" width="20.83203125" style="15" customWidth="1"/>
    <col min="18" max="20" width="8.83203125" style="15"/>
    <col min="21" max="21" width="8.83203125" style="15" customWidth="1"/>
    <col min="22" max="16384" width="8.83203125" style="15"/>
  </cols>
  <sheetData>
    <row r="1" spans="1:11" ht="19" x14ac:dyDescent="0.2">
      <c r="A1" s="119" t="s">
        <v>89</v>
      </c>
      <c r="B1" s="119"/>
      <c r="C1" s="119"/>
      <c r="D1" s="119"/>
      <c r="E1" s="119"/>
      <c r="F1" s="119"/>
      <c r="G1" s="119"/>
      <c r="H1" s="119"/>
      <c r="I1" s="119"/>
    </row>
    <row r="3" spans="1:11" x14ac:dyDescent="0.2">
      <c r="A3" s="48"/>
      <c r="B3" s="120" t="s">
        <v>165</v>
      </c>
      <c r="C3" s="120"/>
      <c r="D3" s="120"/>
      <c r="E3" s="120"/>
      <c r="F3" s="120"/>
      <c r="G3" s="120"/>
      <c r="H3" s="120"/>
      <c r="I3" s="121"/>
    </row>
    <row r="5" spans="1:11" ht="16" x14ac:dyDescent="0.2">
      <c r="B5" s="14" t="s">
        <v>34</v>
      </c>
      <c r="C5" s="14" t="s">
        <v>36</v>
      </c>
      <c r="D5" s="14" t="s">
        <v>0</v>
      </c>
      <c r="E5" s="14" t="s">
        <v>37</v>
      </c>
      <c r="F5" s="14" t="s">
        <v>38</v>
      </c>
      <c r="G5" s="14" t="s">
        <v>93</v>
      </c>
      <c r="H5" s="14" t="s">
        <v>85</v>
      </c>
      <c r="K5" s="50"/>
    </row>
    <row r="6" spans="1:11" x14ac:dyDescent="0.2">
      <c r="B6" s="22">
        <v>46028</v>
      </c>
      <c r="C6" s="17" t="s">
        <v>40</v>
      </c>
      <c r="D6" s="17" t="s">
        <v>41</v>
      </c>
      <c r="E6" s="17" t="s">
        <v>42</v>
      </c>
      <c r="F6" s="23">
        <v>12</v>
      </c>
      <c r="G6" s="24">
        <v>4.5</v>
      </c>
      <c r="H6" s="24">
        <f>Ventes[[#This Row],[Quantité]]*Ventes[[#This Row],[Prix unitaire]]</f>
        <v>54</v>
      </c>
    </row>
    <row r="7" spans="1:11" x14ac:dyDescent="0.2">
      <c r="B7" s="22">
        <v>46031</v>
      </c>
      <c r="C7" s="17" t="s">
        <v>44</v>
      </c>
      <c r="D7" s="17" t="s">
        <v>41</v>
      </c>
      <c r="E7" s="17" t="s">
        <v>45</v>
      </c>
      <c r="F7" s="23">
        <v>3</v>
      </c>
      <c r="G7" s="24">
        <v>89</v>
      </c>
      <c r="H7" s="24">
        <f>Ventes[[#This Row],[Quantité]]*Ventes[[#This Row],[Prix unitaire]]</f>
        <v>267</v>
      </c>
    </row>
    <row r="8" spans="1:11" x14ac:dyDescent="0.2">
      <c r="B8" s="22">
        <v>46034</v>
      </c>
      <c r="C8" s="17" t="s">
        <v>47</v>
      </c>
      <c r="D8" s="17" t="s">
        <v>41</v>
      </c>
      <c r="E8" s="17" t="s">
        <v>48</v>
      </c>
      <c r="F8" s="23">
        <v>25</v>
      </c>
      <c r="G8" s="24">
        <v>3.2</v>
      </c>
      <c r="H8" s="24">
        <f>Ventes[[#This Row],[Quantité]]*Ventes[[#This Row],[Prix unitaire]]</f>
        <v>80</v>
      </c>
    </row>
    <row r="9" spans="1:11" x14ac:dyDescent="0.2">
      <c r="B9" s="22">
        <v>46037</v>
      </c>
      <c r="C9" s="17" t="s">
        <v>50</v>
      </c>
      <c r="D9" s="17" t="s">
        <v>41</v>
      </c>
      <c r="E9" s="17" t="s">
        <v>51</v>
      </c>
      <c r="F9" s="23">
        <v>8</v>
      </c>
      <c r="G9" s="24">
        <v>6.9</v>
      </c>
      <c r="H9" s="24">
        <f>Ventes[[#This Row],[Quantité]]*Ventes[[#This Row],[Prix unitaire]]</f>
        <v>55.2</v>
      </c>
    </row>
    <row r="10" spans="1:11" x14ac:dyDescent="0.2">
      <c r="B10" s="22">
        <v>46040</v>
      </c>
      <c r="C10" s="17" t="s">
        <v>40</v>
      </c>
      <c r="D10" s="17" t="s">
        <v>53</v>
      </c>
      <c r="E10" s="17" t="s">
        <v>54</v>
      </c>
      <c r="F10" s="23">
        <v>2</v>
      </c>
      <c r="G10" s="24">
        <v>320</v>
      </c>
      <c r="H10" s="24">
        <f>Ventes[[#This Row],[Quantité]]*Ventes[[#This Row],[Prix unitaire]]</f>
        <v>640</v>
      </c>
    </row>
    <row r="11" spans="1:11" x14ac:dyDescent="0.2">
      <c r="B11" s="22">
        <v>46043</v>
      </c>
      <c r="C11" s="17" t="s">
        <v>44</v>
      </c>
      <c r="D11" s="17" t="s">
        <v>53</v>
      </c>
      <c r="E11" s="17" t="s">
        <v>55</v>
      </c>
      <c r="F11" s="23">
        <v>5</v>
      </c>
      <c r="G11" s="24">
        <v>145</v>
      </c>
      <c r="H11" s="24">
        <f>Ventes[[#This Row],[Quantité]]*Ventes[[#This Row],[Prix unitaire]]</f>
        <v>725</v>
      </c>
    </row>
    <row r="12" spans="1:11" x14ac:dyDescent="0.2">
      <c r="B12" s="22">
        <v>46046</v>
      </c>
      <c r="C12" s="17" t="s">
        <v>47</v>
      </c>
      <c r="D12" s="17" t="s">
        <v>53</v>
      </c>
      <c r="E12" s="17" t="s">
        <v>56</v>
      </c>
      <c r="F12" s="23">
        <v>4</v>
      </c>
      <c r="G12" s="24">
        <v>78</v>
      </c>
      <c r="H12" s="24">
        <f>Ventes[[#This Row],[Quantité]]*Ventes[[#This Row],[Prix unitaire]]</f>
        <v>312</v>
      </c>
    </row>
    <row r="13" spans="1:11" x14ac:dyDescent="0.2">
      <c r="B13" s="22">
        <v>46049</v>
      </c>
      <c r="C13" s="17" t="s">
        <v>50</v>
      </c>
      <c r="D13" s="17" t="s">
        <v>53</v>
      </c>
      <c r="E13" s="17" t="s">
        <v>57</v>
      </c>
      <c r="F13" s="23">
        <v>1</v>
      </c>
      <c r="G13" s="24">
        <v>410</v>
      </c>
      <c r="H13" s="24">
        <f>Ventes[[#This Row],[Quantité]]*Ventes[[#This Row],[Prix unitaire]]</f>
        <v>410</v>
      </c>
    </row>
    <row r="14" spans="1:11" x14ac:dyDescent="0.2">
      <c r="B14" s="22">
        <v>46052</v>
      </c>
      <c r="C14" s="17" t="s">
        <v>40</v>
      </c>
      <c r="D14" s="17" t="s">
        <v>58</v>
      </c>
      <c r="E14" s="17" t="s">
        <v>59</v>
      </c>
      <c r="F14" s="23">
        <v>6</v>
      </c>
      <c r="G14" s="24">
        <v>159</v>
      </c>
      <c r="H14" s="24">
        <f>Ventes[[#This Row],[Quantité]]*Ventes[[#This Row],[Prix unitaire]]</f>
        <v>954</v>
      </c>
      <c r="K14" s="50"/>
    </row>
    <row r="15" spans="1:11" x14ac:dyDescent="0.2">
      <c r="B15" s="22">
        <v>46055</v>
      </c>
      <c r="C15" s="17" t="s">
        <v>44</v>
      </c>
      <c r="D15" s="17" t="s">
        <v>58</v>
      </c>
      <c r="E15" s="17" t="s">
        <v>60</v>
      </c>
      <c r="F15" s="23">
        <v>10</v>
      </c>
      <c r="G15" s="24">
        <v>24</v>
      </c>
      <c r="H15" s="24">
        <f>Ventes[[#This Row],[Quantité]]*Ventes[[#This Row],[Prix unitaire]]</f>
        <v>240</v>
      </c>
    </row>
    <row r="16" spans="1:11" x14ac:dyDescent="0.2">
      <c r="B16" s="22">
        <v>46058</v>
      </c>
      <c r="C16" s="17" t="s">
        <v>47</v>
      </c>
      <c r="D16" s="17" t="s">
        <v>58</v>
      </c>
      <c r="E16" s="17" t="s">
        <v>61</v>
      </c>
      <c r="F16" s="23">
        <v>15</v>
      </c>
      <c r="G16" s="24">
        <v>9.5</v>
      </c>
      <c r="H16" s="24">
        <f>Ventes[[#This Row],[Quantité]]*Ventes[[#This Row],[Prix unitaire]]</f>
        <v>142.5</v>
      </c>
    </row>
    <row r="17" spans="1:11" x14ac:dyDescent="0.2">
      <c r="B17" s="22">
        <v>46061</v>
      </c>
      <c r="C17" s="17" t="s">
        <v>50</v>
      </c>
      <c r="D17" s="17" t="s">
        <v>58</v>
      </c>
      <c r="E17" s="17" t="s">
        <v>62</v>
      </c>
      <c r="F17" s="23">
        <v>7</v>
      </c>
      <c r="G17" s="24">
        <v>39</v>
      </c>
      <c r="H17" s="24">
        <f>Ventes[[#This Row],[Quantité]]*Ventes[[#This Row],[Prix unitaire]]</f>
        <v>273</v>
      </c>
    </row>
    <row r="18" spans="1:11" x14ac:dyDescent="0.2">
      <c r="B18" s="22">
        <v>46064</v>
      </c>
      <c r="C18" s="17" t="s">
        <v>40</v>
      </c>
      <c r="D18" s="17" t="s">
        <v>63</v>
      </c>
      <c r="E18" s="17" t="s">
        <v>64</v>
      </c>
      <c r="F18" s="23">
        <v>20</v>
      </c>
      <c r="G18" s="24">
        <v>5.5</v>
      </c>
      <c r="H18" s="24">
        <f>Ventes[[#This Row],[Quantité]]*Ventes[[#This Row],[Prix unitaire]]</f>
        <v>110</v>
      </c>
    </row>
    <row r="19" spans="1:11" x14ac:dyDescent="0.2">
      <c r="B19" s="22">
        <v>46067</v>
      </c>
      <c r="C19" s="17" t="s">
        <v>44</v>
      </c>
      <c r="D19" s="17" t="s">
        <v>63</v>
      </c>
      <c r="E19" s="17" t="s">
        <v>65</v>
      </c>
      <c r="F19" s="23">
        <v>30</v>
      </c>
      <c r="G19" s="24">
        <v>2.1</v>
      </c>
      <c r="H19" s="24">
        <f>Ventes[[#This Row],[Quantité]]*Ventes[[#This Row],[Prix unitaire]]</f>
        <v>63</v>
      </c>
    </row>
    <row r="20" spans="1:11" x14ac:dyDescent="0.2">
      <c r="B20" s="22">
        <v>46070</v>
      </c>
      <c r="C20" s="17" t="s">
        <v>47</v>
      </c>
      <c r="D20" s="17" t="s">
        <v>63</v>
      </c>
      <c r="E20" s="17" t="s">
        <v>66</v>
      </c>
      <c r="F20" s="23">
        <v>18</v>
      </c>
      <c r="G20" s="24">
        <v>3.8</v>
      </c>
      <c r="H20" s="24">
        <f>Ventes[[#This Row],[Quantité]]*Ventes[[#This Row],[Prix unitaire]]</f>
        <v>68.399999999999991</v>
      </c>
      <c r="K20" s="50"/>
    </row>
    <row r="21" spans="1:11" x14ac:dyDescent="0.2">
      <c r="B21" s="22">
        <v>46073</v>
      </c>
      <c r="C21" s="17" t="s">
        <v>50</v>
      </c>
      <c r="D21" s="17" t="s">
        <v>63</v>
      </c>
      <c r="E21" s="17" t="s">
        <v>67</v>
      </c>
      <c r="F21" s="23">
        <v>22</v>
      </c>
      <c r="G21" s="24">
        <v>4.2</v>
      </c>
      <c r="H21" s="24">
        <f>Ventes[[#This Row],[Quantité]]*Ventes[[#This Row],[Prix unitaire]]</f>
        <v>92.4</v>
      </c>
    </row>
    <row r="22" spans="1:11" x14ac:dyDescent="0.2">
      <c r="B22" s="22">
        <v>46076</v>
      </c>
      <c r="C22" s="17" t="s">
        <v>40</v>
      </c>
      <c r="D22" s="17" t="s">
        <v>41</v>
      </c>
      <c r="E22" s="17" t="s">
        <v>42</v>
      </c>
      <c r="F22" s="23">
        <v>12</v>
      </c>
      <c r="G22" s="24">
        <v>4.5</v>
      </c>
      <c r="H22" s="24">
        <f>Ventes[[#This Row],[Quantité]]*Ventes[[#This Row],[Prix unitaire]]</f>
        <v>54</v>
      </c>
    </row>
    <row r="23" spans="1:11" x14ac:dyDescent="0.2">
      <c r="B23" s="22">
        <v>46079</v>
      </c>
      <c r="C23" s="17" t="s">
        <v>44</v>
      </c>
      <c r="D23" s="17" t="s">
        <v>41</v>
      </c>
      <c r="E23" s="17" t="s">
        <v>45</v>
      </c>
      <c r="F23" s="23">
        <v>3</v>
      </c>
      <c r="G23" s="24">
        <v>89</v>
      </c>
      <c r="H23" s="24">
        <f>Ventes[[#This Row],[Quantité]]*Ventes[[#This Row],[Prix unitaire]]</f>
        <v>267</v>
      </c>
    </row>
    <row r="24" spans="1:11" x14ac:dyDescent="0.2">
      <c r="B24" s="22">
        <v>46082</v>
      </c>
      <c r="C24" s="17" t="s">
        <v>47</v>
      </c>
      <c r="D24" s="17" t="s">
        <v>41</v>
      </c>
      <c r="E24" s="17" t="s">
        <v>48</v>
      </c>
      <c r="F24" s="23">
        <v>25</v>
      </c>
      <c r="G24" s="24">
        <v>3.2</v>
      </c>
      <c r="H24" s="24">
        <f>Ventes[[#This Row],[Quantité]]*Ventes[[#This Row],[Prix unitaire]]</f>
        <v>80</v>
      </c>
    </row>
    <row r="25" spans="1:11" x14ac:dyDescent="0.2">
      <c r="B25" s="22">
        <v>46085</v>
      </c>
      <c r="C25" s="17" t="s">
        <v>50</v>
      </c>
      <c r="D25" s="17" t="s">
        <v>41</v>
      </c>
      <c r="E25" s="17" t="s">
        <v>51</v>
      </c>
      <c r="F25" s="23">
        <v>8</v>
      </c>
      <c r="G25" s="24">
        <v>6.9</v>
      </c>
      <c r="H25" s="24">
        <f>Ventes[[#This Row],[Quantité]]*Ventes[[#This Row],[Prix unitaire]]</f>
        <v>55.2</v>
      </c>
    </row>
    <row r="26" spans="1:11" x14ac:dyDescent="0.2">
      <c r="B26" s="22">
        <v>46088</v>
      </c>
      <c r="C26" s="17" t="s">
        <v>40</v>
      </c>
      <c r="D26" s="17" t="s">
        <v>53</v>
      </c>
      <c r="E26" s="17" t="s">
        <v>54</v>
      </c>
      <c r="F26" s="23">
        <v>2</v>
      </c>
      <c r="G26" s="24">
        <v>320</v>
      </c>
      <c r="H26" s="24">
        <f>Ventes[[#This Row],[Quantité]]*Ventes[[#This Row],[Prix unitaire]]</f>
        <v>640</v>
      </c>
    </row>
    <row r="27" spans="1:11" x14ac:dyDescent="0.2">
      <c r="B27" s="22">
        <v>46091</v>
      </c>
      <c r="C27" s="17" t="s">
        <v>44</v>
      </c>
      <c r="D27" s="17" t="s">
        <v>53</v>
      </c>
      <c r="E27" s="17" t="s">
        <v>55</v>
      </c>
      <c r="F27" s="23">
        <v>5</v>
      </c>
      <c r="G27" s="24">
        <v>145</v>
      </c>
      <c r="H27" s="24">
        <f>Ventes[[#This Row],[Quantité]]*Ventes[[#This Row],[Prix unitaire]]</f>
        <v>725</v>
      </c>
      <c r="K27" s="50"/>
    </row>
    <row r="28" spans="1:11" x14ac:dyDescent="0.2">
      <c r="B28" s="22">
        <v>46094</v>
      </c>
      <c r="C28" s="17" t="s">
        <v>47</v>
      </c>
      <c r="D28" s="17" t="s">
        <v>53</v>
      </c>
      <c r="E28" s="17" t="s">
        <v>56</v>
      </c>
      <c r="F28" s="23">
        <v>4</v>
      </c>
      <c r="G28" s="24">
        <v>78</v>
      </c>
      <c r="H28" s="24">
        <f>Ventes[[#This Row],[Quantité]]*Ventes[[#This Row],[Prix unitaire]]</f>
        <v>312</v>
      </c>
    </row>
    <row r="29" spans="1:11" x14ac:dyDescent="0.2">
      <c r="B29" s="22">
        <v>46097</v>
      </c>
      <c r="C29" s="17" t="s">
        <v>50</v>
      </c>
      <c r="D29" s="17" t="s">
        <v>53</v>
      </c>
      <c r="E29" s="17" t="s">
        <v>57</v>
      </c>
      <c r="F29" s="23">
        <v>1</v>
      </c>
      <c r="G29" s="24">
        <v>410</v>
      </c>
      <c r="H29" s="24">
        <f>Ventes[[#This Row],[Quantité]]*Ventes[[#This Row],[Prix unitaire]]</f>
        <v>410</v>
      </c>
    </row>
    <row r="32" spans="1:11" x14ac:dyDescent="0.2">
      <c r="A32" s="48"/>
      <c r="B32" s="117" t="s">
        <v>156</v>
      </c>
      <c r="C32" s="117"/>
      <c r="D32" s="117"/>
      <c r="E32" s="117"/>
      <c r="F32" s="117"/>
      <c r="G32" s="117"/>
      <c r="H32" s="117"/>
      <c r="I32" s="118"/>
    </row>
    <row r="33" spans="1:39" s="49" customFormat="1" x14ac:dyDescent="0.2">
      <c r="A33" s="15"/>
      <c r="B33" s="116" t="s">
        <v>196</v>
      </c>
      <c r="C33" s="116"/>
      <c r="D33" s="116"/>
      <c r="E33" s="116"/>
      <c r="F33" s="116"/>
      <c r="G33" s="116"/>
      <c r="H33" s="116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</row>
    <row r="34" spans="1:39" s="49" customFormat="1" ht="16" x14ac:dyDescent="0.2">
      <c r="A34" s="15"/>
      <c r="B34" s="15"/>
      <c r="C34" s="15"/>
      <c r="D34" s="15"/>
      <c r="E34" s="15"/>
      <c r="F34" s="15"/>
      <c r="G34" s="15"/>
      <c r="H34" s="15"/>
      <c r="J34" s="15"/>
      <c r="K34" s="51" t="s">
        <v>95</v>
      </c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</row>
    <row r="35" spans="1:39" s="49" customFormat="1" ht="16" x14ac:dyDescent="0.2">
      <c r="A35" s="15"/>
      <c r="B35" s="53"/>
      <c r="C35" s="15"/>
      <c r="D35" s="15"/>
      <c r="E35" s="15"/>
      <c r="F35" s="15"/>
      <c r="G35" s="15"/>
      <c r="H35" s="15"/>
      <c r="J35" s="15"/>
      <c r="K35" s="54" cm="1">
        <f t="array" ref="K35:Q40">_xlfn._xlws.FILTER(Ventes[],Ventes[Région]="Nord")</f>
        <v>46028</v>
      </c>
      <c r="L35" s="52" t="str">
        <v>Nord</v>
      </c>
      <c r="M35" s="52" t="str">
        <v>Bureautique</v>
      </c>
      <c r="N35" s="52" t="str">
        <v>Ramette papier A4</v>
      </c>
      <c r="O35" s="52">
        <v>12</v>
      </c>
      <c r="P35" s="52">
        <v>4.5</v>
      </c>
      <c r="Q35" s="52">
        <v>54</v>
      </c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</row>
    <row r="36" spans="1:39" s="49" customFormat="1" ht="16" x14ac:dyDescent="0.2">
      <c r="A36" s="15"/>
      <c r="B36" s="15"/>
      <c r="C36" s="15"/>
      <c r="D36" s="15"/>
      <c r="E36" s="15"/>
      <c r="F36" s="15"/>
      <c r="G36" s="15"/>
      <c r="H36" s="15"/>
      <c r="J36" s="15"/>
      <c r="K36" s="52">
        <v>46040</v>
      </c>
      <c r="L36" s="52" t="str">
        <v>Nord</v>
      </c>
      <c r="M36" s="52" t="str">
        <v>Mobilier</v>
      </c>
      <c r="N36" s="52" t="str">
        <v>Bureau réglable</v>
      </c>
      <c r="O36" s="52">
        <v>2</v>
      </c>
      <c r="P36" s="52">
        <v>320</v>
      </c>
      <c r="Q36" s="52">
        <v>640</v>
      </c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</row>
    <row r="37" spans="1:39" s="49" customFormat="1" ht="16" x14ac:dyDescent="0.2">
      <c r="A37" s="15"/>
      <c r="B37" s="15"/>
      <c r="C37" s="15"/>
      <c r="D37" s="15"/>
      <c r="E37" s="15"/>
      <c r="F37" s="15"/>
      <c r="G37" s="15"/>
      <c r="H37" s="15"/>
      <c r="J37" s="15"/>
      <c r="K37" s="52">
        <v>46052</v>
      </c>
      <c r="L37" s="52" t="str">
        <v>Nord</v>
      </c>
      <c r="M37" s="52" t="str">
        <v>Informatique</v>
      </c>
      <c r="N37" s="52" t="str">
        <v>Écran 24 pouces</v>
      </c>
      <c r="O37" s="52">
        <v>6</v>
      </c>
      <c r="P37" s="52">
        <v>159</v>
      </c>
      <c r="Q37" s="52">
        <v>954</v>
      </c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</row>
    <row r="38" spans="1:39" s="49" customFormat="1" ht="16" x14ac:dyDescent="0.2">
      <c r="A38" s="15"/>
      <c r="B38" s="15"/>
      <c r="C38" s="15"/>
      <c r="D38" s="15"/>
      <c r="E38" s="15"/>
      <c r="F38" s="15"/>
      <c r="G38" s="15"/>
      <c r="H38" s="15"/>
      <c r="J38" s="15"/>
      <c r="K38" s="52">
        <v>46064</v>
      </c>
      <c r="L38" s="52" t="str">
        <v>Nord</v>
      </c>
      <c r="M38" s="52" t="str">
        <v>Fournitures</v>
      </c>
      <c r="N38" s="52" t="str">
        <v>Stylos (boîte de 10)</v>
      </c>
      <c r="O38" s="52">
        <v>20</v>
      </c>
      <c r="P38" s="52">
        <v>5.5</v>
      </c>
      <c r="Q38" s="52">
        <v>110</v>
      </c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</row>
    <row r="39" spans="1:39" s="49" customFormat="1" ht="16" x14ac:dyDescent="0.2">
      <c r="A39" s="15"/>
      <c r="B39" s="15"/>
      <c r="C39" s="15"/>
      <c r="D39" s="15"/>
      <c r="E39" s="15"/>
      <c r="F39" s="15"/>
      <c r="G39" s="15"/>
      <c r="H39" s="15"/>
      <c r="J39" s="15"/>
      <c r="K39" s="52">
        <v>46076</v>
      </c>
      <c r="L39" s="52" t="str">
        <v>Nord</v>
      </c>
      <c r="M39" s="52" t="str">
        <v>Bureautique</v>
      </c>
      <c r="N39" s="52" t="str">
        <v>Ramette papier A4</v>
      </c>
      <c r="O39" s="52">
        <v>12</v>
      </c>
      <c r="P39" s="52">
        <v>4.5</v>
      </c>
      <c r="Q39" s="52">
        <v>54</v>
      </c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</row>
    <row r="40" spans="1:39" s="49" customFormat="1" ht="16" x14ac:dyDescent="0.2">
      <c r="A40" s="15"/>
      <c r="B40" s="15"/>
      <c r="C40" s="15"/>
      <c r="D40" s="15"/>
      <c r="E40" s="15"/>
      <c r="F40" s="15"/>
      <c r="G40" s="15"/>
      <c r="H40" s="15"/>
      <c r="J40" s="15"/>
      <c r="K40" s="52">
        <v>46088</v>
      </c>
      <c r="L40" s="52" t="str">
        <v>Nord</v>
      </c>
      <c r="M40" s="52" t="str">
        <v>Mobilier</v>
      </c>
      <c r="N40" s="52" t="str">
        <v>Bureau réglable</v>
      </c>
      <c r="O40" s="52">
        <v>2</v>
      </c>
      <c r="P40" s="52">
        <v>320</v>
      </c>
      <c r="Q40" s="52">
        <v>640</v>
      </c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39" s="49" customFormat="1" x14ac:dyDescent="0.2">
      <c r="A41" s="15"/>
      <c r="B41" s="15"/>
      <c r="C41" s="15"/>
      <c r="D41" s="15"/>
      <c r="E41" s="15"/>
      <c r="F41" s="15"/>
      <c r="G41" s="15"/>
      <c r="H41" s="15"/>
      <c r="J41" s="15"/>
      <c r="K41" s="15"/>
      <c r="L41" s="52"/>
      <c r="M41" s="52"/>
      <c r="N41" s="52"/>
      <c r="O41" s="52"/>
      <c r="P41" s="52"/>
      <c r="Q41" s="52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</row>
    <row r="42" spans="1:39" s="49" customFormat="1" x14ac:dyDescent="0.2">
      <c r="A42" s="15"/>
      <c r="B42" s="15"/>
      <c r="C42" s="15"/>
      <c r="D42" s="15"/>
      <c r="E42" s="15"/>
      <c r="F42" s="15"/>
      <c r="G42" s="15"/>
      <c r="H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</row>
    <row r="43" spans="1:39" s="49" customFormat="1" x14ac:dyDescent="0.2">
      <c r="A43" s="48"/>
      <c r="B43" s="117" t="s">
        <v>157</v>
      </c>
      <c r="C43" s="117"/>
      <c r="D43" s="117"/>
      <c r="E43" s="117"/>
      <c r="F43" s="117"/>
      <c r="G43" s="117"/>
      <c r="H43" s="117"/>
      <c r="I43" s="118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</row>
    <row r="44" spans="1:39" s="49" customFormat="1" ht="16" x14ac:dyDescent="0.2">
      <c r="A44" s="15"/>
      <c r="B44" s="15"/>
      <c r="C44" s="15"/>
      <c r="D44" s="15"/>
      <c r="E44" s="15"/>
      <c r="F44" s="15"/>
      <c r="G44" s="15"/>
      <c r="H44" s="15"/>
      <c r="J44" s="15"/>
      <c r="K44" s="51" t="s">
        <v>95</v>
      </c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</row>
    <row r="45" spans="1:39" ht="16" x14ac:dyDescent="0.2">
      <c r="B45" s="53"/>
      <c r="K45" s="54" cm="1">
        <f t="array" ref="K45:Q45">_xlfn._xlws.FILTER(Ventes[],(Ventes[Région]="Nord")*(Ventes[Catégorie]="Informatique"))</f>
        <v>46052</v>
      </c>
      <c r="L45" s="52" t="str">
        <v>Nord</v>
      </c>
      <c r="M45" s="52" t="str">
        <v>Informatique</v>
      </c>
      <c r="N45" s="52" t="str">
        <v>Écran 24 pouces</v>
      </c>
      <c r="O45" s="52">
        <v>6</v>
      </c>
      <c r="P45" s="52">
        <v>159</v>
      </c>
      <c r="Q45" s="52">
        <v>954</v>
      </c>
    </row>
    <row r="46" spans="1:39" x14ac:dyDescent="0.2">
      <c r="L46" s="52"/>
      <c r="M46" s="52"/>
      <c r="N46" s="52"/>
      <c r="O46" s="52"/>
      <c r="P46" s="52"/>
      <c r="Q46" s="52"/>
    </row>
    <row r="47" spans="1:39" s="49" customFormat="1" x14ac:dyDescent="0.2">
      <c r="A47" s="15"/>
      <c r="B47" s="15"/>
      <c r="C47" s="15"/>
      <c r="D47" s="15"/>
      <c r="E47" s="15"/>
      <c r="F47" s="15"/>
      <c r="G47" s="15"/>
      <c r="H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</row>
    <row r="48" spans="1:39" s="49" customFormat="1" x14ac:dyDescent="0.2">
      <c r="A48" s="48"/>
      <c r="B48" s="117" t="s">
        <v>159</v>
      </c>
      <c r="C48" s="117"/>
      <c r="D48" s="117"/>
      <c r="E48" s="117"/>
      <c r="F48" s="117"/>
      <c r="G48" s="117"/>
      <c r="H48" s="117"/>
      <c r="I48" s="118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</row>
    <row r="49" spans="1:39" s="49" customFormat="1" x14ac:dyDescent="0.2">
      <c r="A49" s="15"/>
      <c r="B49" s="116" t="s">
        <v>197</v>
      </c>
      <c r="C49" s="116"/>
      <c r="D49" s="116"/>
      <c r="E49" s="116"/>
      <c r="F49" s="116"/>
      <c r="G49" s="116"/>
      <c r="H49" s="116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</row>
    <row r="50" spans="1:39" s="49" customFormat="1" ht="16" x14ac:dyDescent="0.2">
      <c r="A50" s="15"/>
      <c r="B50" s="15"/>
      <c r="C50" s="15"/>
      <c r="D50" s="15"/>
      <c r="E50" s="15"/>
      <c r="F50" s="15"/>
      <c r="G50" s="15"/>
      <c r="H50" s="15"/>
      <c r="J50" s="15"/>
      <c r="K50" s="51" t="s">
        <v>95</v>
      </c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</row>
    <row r="51" spans="1:39" s="49" customFormat="1" ht="16" x14ac:dyDescent="0.2">
      <c r="A51" s="15"/>
      <c r="B51" s="60" t="s">
        <v>153</v>
      </c>
      <c r="C51" s="60" t="s">
        <v>154</v>
      </c>
      <c r="D51" s="15"/>
      <c r="E51" s="15"/>
      <c r="F51" s="15"/>
      <c r="G51" s="15"/>
      <c r="H51" s="15"/>
      <c r="J51" s="15"/>
      <c r="K51" s="61" t="s">
        <v>153</v>
      </c>
      <c r="L51" s="61" t="s">
        <v>154</v>
      </c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</row>
    <row r="52" spans="1:39" s="49" customFormat="1" ht="16" x14ac:dyDescent="0.2">
      <c r="A52" s="15"/>
      <c r="B52" s="53"/>
      <c r="C52" s="53"/>
      <c r="D52" s="15"/>
      <c r="E52" s="15"/>
      <c r="F52" s="15"/>
      <c r="G52" s="15"/>
      <c r="H52" s="15"/>
      <c r="J52" s="15"/>
      <c r="K52" s="54" t="str" cm="1">
        <f t="array" ref="K52:K55">_xlfn.UNIQUE(Ventes[Catégorie])</f>
        <v>Bureautique</v>
      </c>
      <c r="L52" s="54" cm="1">
        <f t="array" ref="L52:L55">SUMIFS(Ventes[Montant],Ventes[Catégorie],_xlfn.ANCHORARRAY(K52))</f>
        <v>912.40000000000009</v>
      </c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</row>
    <row r="53" spans="1:39" s="49" customFormat="1" ht="16" x14ac:dyDescent="0.2">
      <c r="A53" s="15"/>
      <c r="B53" s="15"/>
      <c r="C53" s="15"/>
      <c r="D53" s="15"/>
      <c r="E53" s="15"/>
      <c r="F53" s="15"/>
      <c r="G53" s="15"/>
      <c r="H53" s="15"/>
      <c r="J53" s="15"/>
      <c r="K53" s="52" t="str">
        <v>Mobilier</v>
      </c>
      <c r="L53" s="52">
        <v>4174</v>
      </c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</row>
    <row r="54" spans="1:39" s="49" customFormat="1" ht="16" x14ac:dyDescent="0.2">
      <c r="A54" s="15"/>
      <c r="B54" s="15"/>
      <c r="C54" s="15"/>
      <c r="D54" s="15"/>
      <c r="E54" s="15"/>
      <c r="F54" s="15"/>
      <c r="G54" s="15"/>
      <c r="H54" s="15"/>
      <c r="J54" s="15"/>
      <c r="K54" s="52" t="str">
        <v>Informatique</v>
      </c>
      <c r="L54" s="52">
        <v>1609.5</v>
      </c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</row>
    <row r="55" spans="1:39" s="49" customFormat="1" ht="16" x14ac:dyDescent="0.2">
      <c r="A55" s="15"/>
      <c r="B55" s="15"/>
      <c r="C55" s="15"/>
      <c r="D55" s="15"/>
      <c r="E55" s="15"/>
      <c r="F55" s="15"/>
      <c r="G55" s="15"/>
      <c r="H55" s="15"/>
      <c r="J55" s="15"/>
      <c r="K55" s="52" t="str">
        <v>Fournitures</v>
      </c>
      <c r="L55" s="52">
        <v>333.79999999999995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</row>
    <row r="56" spans="1:39" s="49" customFormat="1" x14ac:dyDescent="0.2">
      <c r="A56" s="15"/>
      <c r="B56" s="15"/>
      <c r="C56" s="15"/>
      <c r="D56" s="15"/>
      <c r="E56" s="15"/>
      <c r="F56" s="15"/>
      <c r="G56" s="15"/>
      <c r="H56" s="15"/>
      <c r="J56" s="15"/>
      <c r="K56" s="52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</row>
    <row r="57" spans="1:39" s="49" customFormat="1" x14ac:dyDescent="0.2">
      <c r="A57" s="15"/>
      <c r="B57" s="15"/>
      <c r="C57" s="15"/>
      <c r="D57" s="15"/>
      <c r="E57" s="15"/>
      <c r="F57" s="15"/>
      <c r="G57" s="15"/>
      <c r="H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</row>
    <row r="58" spans="1:39" s="49" customFormat="1" x14ac:dyDescent="0.2">
      <c r="A58" s="48"/>
      <c r="B58" s="117" t="s">
        <v>158</v>
      </c>
      <c r="C58" s="117"/>
      <c r="D58" s="117"/>
      <c r="E58" s="117"/>
      <c r="F58" s="117"/>
      <c r="G58" s="117"/>
      <c r="H58" s="117"/>
      <c r="I58" s="118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</row>
    <row r="59" spans="1:39" s="49" customFormat="1" x14ac:dyDescent="0.2">
      <c r="A59" s="15"/>
      <c r="B59" s="116" t="s">
        <v>198</v>
      </c>
      <c r="C59" s="116"/>
      <c r="D59" s="116"/>
      <c r="E59" s="116"/>
      <c r="F59" s="116"/>
      <c r="G59" s="116"/>
      <c r="H59" s="116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</row>
    <row r="60" spans="1:39" s="49" customFormat="1" ht="16" x14ac:dyDescent="0.2">
      <c r="A60" s="15"/>
      <c r="B60" s="15"/>
      <c r="C60" s="15"/>
      <c r="D60" s="15"/>
      <c r="E60" s="15"/>
      <c r="F60" s="15"/>
      <c r="G60" s="15"/>
      <c r="H60" s="15"/>
      <c r="J60" s="15"/>
      <c r="K60" s="51" t="s">
        <v>95</v>
      </c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</row>
    <row r="61" spans="1:39" s="49" customFormat="1" ht="16" x14ac:dyDescent="0.2">
      <c r="A61" s="15"/>
      <c r="B61" s="53"/>
      <c r="C61" s="15"/>
      <c r="D61" s="15"/>
      <c r="E61" s="15"/>
      <c r="F61" s="15"/>
      <c r="G61" s="15"/>
      <c r="H61" s="15"/>
      <c r="J61" s="15"/>
      <c r="K61" s="54" cm="1">
        <f t="array" ref="K61:Q84">_xlfn._xlws.SORT(Ventes[],7,-1)</f>
        <v>46052</v>
      </c>
      <c r="L61" s="52" t="str">
        <v>Nord</v>
      </c>
      <c r="M61" s="52" t="str">
        <v>Informatique</v>
      </c>
      <c r="N61" s="52" t="str">
        <v>Écran 24 pouces</v>
      </c>
      <c r="O61" s="52">
        <v>6</v>
      </c>
      <c r="P61" s="52">
        <v>159</v>
      </c>
      <c r="Q61" s="52">
        <v>954</v>
      </c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</row>
    <row r="62" spans="1:39" s="49" customFormat="1" ht="16" x14ac:dyDescent="0.2">
      <c r="A62" s="15"/>
      <c r="B62" s="15"/>
      <c r="C62" s="15"/>
      <c r="D62" s="15"/>
      <c r="E62" s="15"/>
      <c r="F62" s="15"/>
      <c r="G62" s="15"/>
      <c r="H62" s="15"/>
      <c r="J62" s="15"/>
      <c r="K62" s="52">
        <v>46043</v>
      </c>
      <c r="L62" s="52" t="str">
        <v>Sud</v>
      </c>
      <c r="M62" s="52" t="str">
        <v>Mobilier</v>
      </c>
      <c r="N62" s="52" t="str">
        <v>Chaise ergonomique</v>
      </c>
      <c r="O62" s="52">
        <v>5</v>
      </c>
      <c r="P62" s="52">
        <v>145</v>
      </c>
      <c r="Q62" s="52">
        <v>725</v>
      </c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</row>
    <row r="63" spans="1:39" s="49" customFormat="1" ht="16" x14ac:dyDescent="0.2">
      <c r="A63" s="15"/>
      <c r="B63" s="15"/>
      <c r="C63" s="15"/>
      <c r="D63" s="15"/>
      <c r="E63" s="15"/>
      <c r="F63" s="15"/>
      <c r="G63" s="15"/>
      <c r="H63" s="15"/>
      <c r="J63" s="15"/>
      <c r="K63" s="52">
        <v>46091</v>
      </c>
      <c r="L63" s="52" t="str">
        <v>Sud</v>
      </c>
      <c r="M63" s="52" t="str">
        <v>Mobilier</v>
      </c>
      <c r="N63" s="52" t="str">
        <v>Chaise ergonomique</v>
      </c>
      <c r="O63" s="52">
        <v>5</v>
      </c>
      <c r="P63" s="52">
        <v>145</v>
      </c>
      <c r="Q63" s="52">
        <v>725</v>
      </c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</row>
    <row r="64" spans="1:39" s="49" customFormat="1" ht="16" x14ac:dyDescent="0.2">
      <c r="A64" s="15"/>
      <c r="B64" s="15"/>
      <c r="C64" s="15"/>
      <c r="D64" s="15"/>
      <c r="E64" s="15"/>
      <c r="F64" s="15"/>
      <c r="G64" s="15"/>
      <c r="H64" s="15"/>
      <c r="J64" s="15"/>
      <c r="K64" s="52">
        <v>46040</v>
      </c>
      <c r="L64" s="52" t="str">
        <v>Nord</v>
      </c>
      <c r="M64" s="52" t="str">
        <v>Mobilier</v>
      </c>
      <c r="N64" s="52" t="str">
        <v>Bureau réglable</v>
      </c>
      <c r="O64" s="52">
        <v>2</v>
      </c>
      <c r="P64" s="52">
        <v>320</v>
      </c>
      <c r="Q64" s="52">
        <v>640</v>
      </c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</row>
    <row r="65" spans="1:39" s="49" customFormat="1" ht="16" x14ac:dyDescent="0.2">
      <c r="A65" s="15"/>
      <c r="B65" s="15"/>
      <c r="C65" s="15"/>
      <c r="D65" s="15"/>
      <c r="E65" s="15"/>
      <c r="F65" s="15"/>
      <c r="G65" s="15"/>
      <c r="H65" s="15"/>
      <c r="J65" s="15"/>
      <c r="K65" s="52">
        <v>46088</v>
      </c>
      <c r="L65" s="52" t="str">
        <v>Nord</v>
      </c>
      <c r="M65" s="52" t="str">
        <v>Mobilier</v>
      </c>
      <c r="N65" s="52" t="str">
        <v>Bureau réglable</v>
      </c>
      <c r="O65" s="52">
        <v>2</v>
      </c>
      <c r="P65" s="52">
        <v>320</v>
      </c>
      <c r="Q65" s="52">
        <v>640</v>
      </c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</row>
    <row r="66" spans="1:39" ht="16" x14ac:dyDescent="0.2">
      <c r="K66" s="52">
        <v>46049</v>
      </c>
      <c r="L66" s="52" t="str">
        <v>Ouest</v>
      </c>
      <c r="M66" s="52" t="str">
        <v>Mobilier</v>
      </c>
      <c r="N66" s="52" t="str">
        <v>Armoire basse</v>
      </c>
      <c r="O66" s="52">
        <v>1</v>
      </c>
      <c r="P66" s="52">
        <v>410</v>
      </c>
      <c r="Q66" s="52">
        <v>410</v>
      </c>
    </row>
    <row r="67" spans="1:39" ht="16" x14ac:dyDescent="0.2">
      <c r="K67" s="52">
        <v>46097</v>
      </c>
      <c r="L67" s="52" t="str">
        <v>Ouest</v>
      </c>
      <c r="M67" s="52" t="str">
        <v>Mobilier</v>
      </c>
      <c r="N67" s="52" t="str">
        <v>Armoire basse</v>
      </c>
      <c r="O67" s="52">
        <v>1</v>
      </c>
      <c r="P67" s="52">
        <v>410</v>
      </c>
      <c r="Q67" s="52">
        <v>410</v>
      </c>
    </row>
    <row r="68" spans="1:39" s="49" customFormat="1" ht="16" x14ac:dyDescent="0.2">
      <c r="A68" s="15"/>
      <c r="B68" s="15"/>
      <c r="C68" s="15"/>
      <c r="D68" s="15"/>
      <c r="E68" s="15"/>
      <c r="F68" s="15"/>
      <c r="G68" s="15"/>
      <c r="H68" s="15"/>
      <c r="J68" s="15"/>
      <c r="K68" s="52">
        <v>46046</v>
      </c>
      <c r="L68" s="52" t="str">
        <v>Est</v>
      </c>
      <c r="M68" s="52" t="str">
        <v>Mobilier</v>
      </c>
      <c r="N68" s="52" t="str">
        <v>Caisson à roulettes</v>
      </c>
      <c r="O68" s="52">
        <v>4</v>
      </c>
      <c r="P68" s="52">
        <v>78</v>
      </c>
      <c r="Q68" s="52">
        <v>312</v>
      </c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</row>
    <row r="69" spans="1:39" ht="16" x14ac:dyDescent="0.2">
      <c r="K69" s="52">
        <v>46094</v>
      </c>
      <c r="L69" s="52" t="str">
        <v>Est</v>
      </c>
      <c r="M69" s="52" t="str">
        <v>Mobilier</v>
      </c>
      <c r="N69" s="52" t="str">
        <v>Caisson à roulettes</v>
      </c>
      <c r="O69" s="52">
        <v>4</v>
      </c>
      <c r="P69" s="52">
        <v>78</v>
      </c>
      <c r="Q69" s="52">
        <v>312</v>
      </c>
    </row>
    <row r="70" spans="1:39" s="49" customFormat="1" ht="16" x14ac:dyDescent="0.2">
      <c r="A70" s="15"/>
      <c r="B70" s="15"/>
      <c r="C70" s="15"/>
      <c r="D70" s="15"/>
      <c r="E70" s="15"/>
      <c r="F70" s="15"/>
      <c r="G70" s="15"/>
      <c r="H70" s="15"/>
      <c r="J70" s="15"/>
      <c r="K70" s="52">
        <v>46061</v>
      </c>
      <c r="L70" s="52" t="str">
        <v>Ouest</v>
      </c>
      <c r="M70" s="52" t="str">
        <v>Informatique</v>
      </c>
      <c r="N70" s="52" t="str">
        <v>Casque USB</v>
      </c>
      <c r="O70" s="52">
        <v>7</v>
      </c>
      <c r="P70" s="52">
        <v>39</v>
      </c>
      <c r="Q70" s="52">
        <v>273</v>
      </c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</row>
    <row r="71" spans="1:39" s="49" customFormat="1" ht="16" x14ac:dyDescent="0.2">
      <c r="A71" s="15"/>
      <c r="B71" s="15"/>
      <c r="C71" s="15"/>
      <c r="D71" s="15"/>
      <c r="E71" s="15"/>
      <c r="F71" s="15"/>
      <c r="G71" s="15"/>
      <c r="H71" s="15"/>
      <c r="J71" s="15"/>
      <c r="K71" s="52">
        <v>46031</v>
      </c>
      <c r="L71" s="52" t="str">
        <v>Sud</v>
      </c>
      <c r="M71" s="52" t="str">
        <v>Bureautique</v>
      </c>
      <c r="N71" s="52" t="str">
        <v>Cartouche encre</v>
      </c>
      <c r="O71" s="52">
        <v>3</v>
      </c>
      <c r="P71" s="52">
        <v>89</v>
      </c>
      <c r="Q71" s="52">
        <v>267</v>
      </c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</row>
    <row r="72" spans="1:39" s="49" customFormat="1" ht="16" x14ac:dyDescent="0.2">
      <c r="A72" s="15"/>
      <c r="B72" s="15"/>
      <c r="C72" s="15"/>
      <c r="D72" s="15"/>
      <c r="E72" s="15"/>
      <c r="F72" s="15"/>
      <c r="G72" s="15"/>
      <c r="H72" s="15"/>
      <c r="J72" s="15"/>
      <c r="K72" s="52">
        <v>46079</v>
      </c>
      <c r="L72" s="52" t="str">
        <v>Sud</v>
      </c>
      <c r="M72" s="52" t="str">
        <v>Bureautique</v>
      </c>
      <c r="N72" s="52" t="str">
        <v>Cartouche encre</v>
      </c>
      <c r="O72" s="52">
        <v>3</v>
      </c>
      <c r="P72" s="52">
        <v>89</v>
      </c>
      <c r="Q72" s="52">
        <v>267</v>
      </c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</row>
    <row r="73" spans="1:39" s="49" customFormat="1" ht="16" x14ac:dyDescent="0.2">
      <c r="A73" s="15"/>
      <c r="B73" s="15"/>
      <c r="C73" s="15"/>
      <c r="D73" s="15"/>
      <c r="E73" s="15"/>
      <c r="F73" s="15"/>
      <c r="G73" s="15"/>
      <c r="H73" s="15"/>
      <c r="J73" s="15"/>
      <c r="K73" s="52">
        <v>46055</v>
      </c>
      <c r="L73" s="52" t="str">
        <v>Sud</v>
      </c>
      <c r="M73" s="52" t="str">
        <v>Informatique</v>
      </c>
      <c r="N73" s="52" t="str">
        <v>Clavier sans fil</v>
      </c>
      <c r="O73" s="52">
        <v>10</v>
      </c>
      <c r="P73" s="52">
        <v>24</v>
      </c>
      <c r="Q73" s="52">
        <v>240</v>
      </c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</row>
    <row r="74" spans="1:39" s="49" customFormat="1" ht="16" x14ac:dyDescent="0.2">
      <c r="A74" s="15"/>
      <c r="B74" s="15"/>
      <c r="C74" s="15"/>
      <c r="D74" s="15"/>
      <c r="E74" s="15"/>
      <c r="F74" s="15"/>
      <c r="G74" s="15"/>
      <c r="H74" s="15"/>
      <c r="J74" s="15"/>
      <c r="K74" s="52">
        <v>46058</v>
      </c>
      <c r="L74" s="52" t="str">
        <v>Est</v>
      </c>
      <c r="M74" s="52" t="str">
        <v>Informatique</v>
      </c>
      <c r="N74" s="52" t="str">
        <v>Souris optique</v>
      </c>
      <c r="O74" s="52">
        <v>15</v>
      </c>
      <c r="P74" s="52">
        <v>9.5</v>
      </c>
      <c r="Q74" s="52">
        <v>142.5</v>
      </c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</row>
    <row r="75" spans="1:39" s="49" customFormat="1" ht="16" x14ac:dyDescent="0.2">
      <c r="A75" s="15"/>
      <c r="B75" s="15"/>
      <c r="C75" s="15"/>
      <c r="D75" s="15"/>
      <c r="E75" s="15"/>
      <c r="F75" s="15"/>
      <c r="G75" s="15"/>
      <c r="H75" s="15"/>
      <c r="J75" s="15"/>
      <c r="K75" s="52">
        <v>46064</v>
      </c>
      <c r="L75" s="52" t="str">
        <v>Nord</v>
      </c>
      <c r="M75" s="52" t="str">
        <v>Fournitures</v>
      </c>
      <c r="N75" s="52" t="str">
        <v>Stylos (boîte de 10)</v>
      </c>
      <c r="O75" s="52">
        <v>20</v>
      </c>
      <c r="P75" s="52">
        <v>5.5</v>
      </c>
      <c r="Q75" s="52">
        <v>110</v>
      </c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</row>
    <row r="76" spans="1:39" s="49" customFormat="1" ht="16" x14ac:dyDescent="0.2">
      <c r="A76" s="15"/>
      <c r="B76" s="15"/>
      <c r="C76" s="15"/>
      <c r="D76" s="15"/>
      <c r="E76" s="15"/>
      <c r="F76" s="15"/>
      <c r="G76" s="15"/>
      <c r="H76" s="15"/>
      <c r="J76" s="15"/>
      <c r="K76" s="52">
        <v>46073</v>
      </c>
      <c r="L76" s="52" t="str">
        <v>Ouest</v>
      </c>
      <c r="M76" s="52" t="str">
        <v>Fournitures</v>
      </c>
      <c r="N76" s="52" t="str">
        <v>Trombones (boîte)</v>
      </c>
      <c r="O76" s="52">
        <v>22</v>
      </c>
      <c r="P76" s="52">
        <v>4.2</v>
      </c>
      <c r="Q76" s="52">
        <v>92.4</v>
      </c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</row>
    <row r="77" spans="1:39" s="49" customFormat="1" ht="16" x14ac:dyDescent="0.2">
      <c r="A77" s="15"/>
      <c r="B77" s="15"/>
      <c r="C77" s="15"/>
      <c r="D77" s="15"/>
      <c r="E77" s="15"/>
      <c r="F77" s="15"/>
      <c r="G77" s="15"/>
      <c r="H77" s="15"/>
      <c r="J77" s="15"/>
      <c r="K77" s="52">
        <v>46034</v>
      </c>
      <c r="L77" s="52" t="str">
        <v>Est</v>
      </c>
      <c r="M77" s="52" t="str">
        <v>Bureautique</v>
      </c>
      <c r="N77" s="52" t="str">
        <v>Classeur A4</v>
      </c>
      <c r="O77" s="52">
        <v>25</v>
      </c>
      <c r="P77" s="52">
        <v>3.2</v>
      </c>
      <c r="Q77" s="52">
        <v>80</v>
      </c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</row>
    <row r="78" spans="1:39" s="49" customFormat="1" ht="16" x14ac:dyDescent="0.2">
      <c r="A78" s="15"/>
      <c r="B78" s="15"/>
      <c r="C78" s="15"/>
      <c r="D78" s="15"/>
      <c r="E78" s="15"/>
      <c r="F78" s="15"/>
      <c r="G78" s="15"/>
      <c r="H78" s="15"/>
      <c r="J78" s="15"/>
      <c r="K78" s="52">
        <v>46082</v>
      </c>
      <c r="L78" s="52" t="str">
        <v>Est</v>
      </c>
      <c r="M78" s="52" t="str">
        <v>Bureautique</v>
      </c>
      <c r="N78" s="52" t="str">
        <v>Classeur A4</v>
      </c>
      <c r="O78" s="52">
        <v>25</v>
      </c>
      <c r="P78" s="52">
        <v>3.2</v>
      </c>
      <c r="Q78" s="52">
        <v>80</v>
      </c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</row>
    <row r="79" spans="1:39" s="49" customFormat="1" ht="16" x14ac:dyDescent="0.2">
      <c r="A79" s="15"/>
      <c r="B79" s="15"/>
      <c r="C79" s="15"/>
      <c r="D79" s="15"/>
      <c r="E79" s="15"/>
      <c r="F79" s="15"/>
      <c r="G79" s="15"/>
      <c r="H79" s="15"/>
      <c r="J79" s="15"/>
      <c r="K79" s="52">
        <v>46070</v>
      </c>
      <c r="L79" s="52" t="str">
        <v>Est</v>
      </c>
      <c r="M79" s="52" t="str">
        <v>Fournitures</v>
      </c>
      <c r="N79" s="52" t="str">
        <v>Surligneurs</v>
      </c>
      <c r="O79" s="52">
        <v>18</v>
      </c>
      <c r="P79" s="52">
        <v>3.8</v>
      </c>
      <c r="Q79" s="52">
        <v>68.399999999999991</v>
      </c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</row>
    <row r="80" spans="1:39" s="49" customFormat="1" ht="16" x14ac:dyDescent="0.2">
      <c r="A80" s="15"/>
      <c r="B80" s="15"/>
      <c r="C80" s="15"/>
      <c r="D80" s="15"/>
      <c r="E80" s="15"/>
      <c r="F80" s="15"/>
      <c r="G80" s="15"/>
      <c r="H80" s="15"/>
      <c r="J80" s="15"/>
      <c r="K80" s="52">
        <v>46067</v>
      </c>
      <c r="L80" s="52" t="str">
        <v>Sud</v>
      </c>
      <c r="M80" s="52" t="str">
        <v>Fournitures</v>
      </c>
      <c r="N80" s="52" t="str">
        <v>Post-it</v>
      </c>
      <c r="O80" s="52">
        <v>30</v>
      </c>
      <c r="P80" s="52">
        <v>2.1</v>
      </c>
      <c r="Q80" s="52">
        <v>63</v>
      </c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</row>
    <row r="81" spans="1:39" s="49" customFormat="1" ht="16" x14ac:dyDescent="0.2">
      <c r="A81" s="15"/>
      <c r="B81" s="15"/>
      <c r="C81" s="15"/>
      <c r="D81" s="15"/>
      <c r="E81" s="15"/>
      <c r="F81" s="15"/>
      <c r="G81" s="15"/>
      <c r="H81" s="15"/>
      <c r="J81" s="15"/>
      <c r="K81" s="52">
        <v>46037</v>
      </c>
      <c r="L81" s="52" t="str">
        <v>Ouest</v>
      </c>
      <c r="M81" s="52" t="str">
        <v>Bureautique</v>
      </c>
      <c r="N81" s="52" t="str">
        <v>Agrafeuse</v>
      </c>
      <c r="O81" s="52">
        <v>8</v>
      </c>
      <c r="P81" s="52">
        <v>6.9</v>
      </c>
      <c r="Q81" s="52">
        <v>55.2</v>
      </c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</row>
    <row r="82" spans="1:39" s="49" customFormat="1" ht="16" x14ac:dyDescent="0.2">
      <c r="A82" s="15"/>
      <c r="B82" s="15"/>
      <c r="C82" s="15"/>
      <c r="D82" s="15"/>
      <c r="E82" s="15"/>
      <c r="F82" s="15"/>
      <c r="G82" s="15"/>
      <c r="H82" s="15"/>
      <c r="J82" s="15"/>
      <c r="K82" s="52">
        <v>46085</v>
      </c>
      <c r="L82" s="52" t="str">
        <v>Ouest</v>
      </c>
      <c r="M82" s="52" t="str">
        <v>Bureautique</v>
      </c>
      <c r="N82" s="52" t="str">
        <v>Agrafeuse</v>
      </c>
      <c r="O82" s="52">
        <v>8</v>
      </c>
      <c r="P82" s="52">
        <v>6.9</v>
      </c>
      <c r="Q82" s="52">
        <v>55.2</v>
      </c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</row>
    <row r="83" spans="1:39" s="49" customFormat="1" ht="16" x14ac:dyDescent="0.2">
      <c r="A83" s="15"/>
      <c r="B83" s="15"/>
      <c r="C83" s="15"/>
      <c r="D83" s="15"/>
      <c r="E83" s="15"/>
      <c r="F83" s="15"/>
      <c r="G83" s="15"/>
      <c r="H83" s="15"/>
      <c r="J83" s="15"/>
      <c r="K83" s="52">
        <v>46028</v>
      </c>
      <c r="L83" s="52" t="str">
        <v>Nord</v>
      </c>
      <c r="M83" s="52" t="str">
        <v>Bureautique</v>
      </c>
      <c r="N83" s="52" t="str">
        <v>Ramette papier A4</v>
      </c>
      <c r="O83" s="52">
        <v>12</v>
      </c>
      <c r="P83" s="52">
        <v>4.5</v>
      </c>
      <c r="Q83" s="52">
        <v>54</v>
      </c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</row>
    <row r="84" spans="1:39" s="49" customFormat="1" ht="16" x14ac:dyDescent="0.2">
      <c r="A84" s="15"/>
      <c r="B84" s="15"/>
      <c r="C84" s="15"/>
      <c r="D84" s="15"/>
      <c r="E84" s="15"/>
      <c r="F84" s="15"/>
      <c r="G84" s="15"/>
      <c r="H84" s="15"/>
      <c r="J84" s="15"/>
      <c r="K84" s="52">
        <v>46076</v>
      </c>
      <c r="L84" s="52" t="str">
        <v>Nord</v>
      </c>
      <c r="M84" s="52" t="str">
        <v>Bureautique</v>
      </c>
      <c r="N84" s="52" t="str">
        <v>Ramette papier A4</v>
      </c>
      <c r="O84" s="52">
        <v>12</v>
      </c>
      <c r="P84" s="52">
        <v>4.5</v>
      </c>
      <c r="Q84" s="52">
        <v>54</v>
      </c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</row>
    <row r="85" spans="1:39" s="49" customFormat="1" x14ac:dyDescent="0.2">
      <c r="A85" s="15"/>
      <c r="B85" s="15"/>
      <c r="C85" s="15"/>
      <c r="D85" s="15"/>
      <c r="E85" s="15"/>
      <c r="F85" s="15"/>
      <c r="G85" s="15"/>
      <c r="H85" s="15"/>
      <c r="J85" s="15"/>
      <c r="K85" s="52"/>
      <c r="L85" s="52"/>
      <c r="M85" s="52"/>
      <c r="N85" s="52"/>
      <c r="O85" s="52"/>
      <c r="P85" s="52"/>
      <c r="Q85" s="52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</row>
    <row r="87" spans="1:39" x14ac:dyDescent="0.2">
      <c r="A87" s="48"/>
      <c r="B87" s="117" t="s">
        <v>264</v>
      </c>
      <c r="C87" s="117"/>
      <c r="D87" s="117"/>
      <c r="E87" s="117"/>
      <c r="F87" s="117"/>
      <c r="G87" s="117"/>
      <c r="H87" s="117"/>
      <c r="I87" s="118"/>
    </row>
    <row r="88" spans="1:39" x14ac:dyDescent="0.2">
      <c r="B88" s="116" t="s">
        <v>199</v>
      </c>
      <c r="C88" s="116"/>
      <c r="D88" s="116"/>
      <c r="E88" s="116"/>
      <c r="F88" s="116"/>
      <c r="G88" s="116"/>
      <c r="H88" s="116"/>
    </row>
    <row r="89" spans="1:39" ht="16" x14ac:dyDescent="0.2">
      <c r="K89" s="51" t="s">
        <v>95</v>
      </c>
    </row>
    <row r="90" spans="1:39" ht="16" x14ac:dyDescent="0.2">
      <c r="B90" s="53"/>
      <c r="K90" s="54" cm="1">
        <f t="array" ref="K90:Q113">_xlfn._xlws.SORT(Ventes[],{2;7},{1;-1})</f>
        <v>46046</v>
      </c>
      <c r="L90" s="52" t="str">
        <v>Est</v>
      </c>
      <c r="M90" s="52" t="str">
        <v>Mobilier</v>
      </c>
      <c r="N90" s="52" t="str">
        <v>Caisson à roulettes</v>
      </c>
      <c r="O90" s="52">
        <v>4</v>
      </c>
      <c r="P90" s="52">
        <v>78</v>
      </c>
      <c r="Q90" s="52">
        <v>312</v>
      </c>
    </row>
    <row r="91" spans="1:39" ht="16" x14ac:dyDescent="0.2">
      <c r="K91" s="52">
        <v>46094</v>
      </c>
      <c r="L91" s="52" t="str">
        <v>Est</v>
      </c>
      <c r="M91" s="52" t="str">
        <v>Mobilier</v>
      </c>
      <c r="N91" s="52" t="str">
        <v>Caisson à roulettes</v>
      </c>
      <c r="O91" s="52">
        <v>4</v>
      </c>
      <c r="P91" s="52">
        <v>78</v>
      </c>
      <c r="Q91" s="52">
        <v>312</v>
      </c>
    </row>
    <row r="92" spans="1:39" ht="16" x14ac:dyDescent="0.2">
      <c r="K92" s="52">
        <v>46058</v>
      </c>
      <c r="L92" s="52" t="str">
        <v>Est</v>
      </c>
      <c r="M92" s="52" t="str">
        <v>Informatique</v>
      </c>
      <c r="N92" s="52" t="str">
        <v>Souris optique</v>
      </c>
      <c r="O92" s="52">
        <v>15</v>
      </c>
      <c r="P92" s="52">
        <v>9.5</v>
      </c>
      <c r="Q92" s="52">
        <v>142.5</v>
      </c>
    </row>
    <row r="93" spans="1:39" ht="16" x14ac:dyDescent="0.2">
      <c r="K93" s="52">
        <v>46034</v>
      </c>
      <c r="L93" s="52" t="str">
        <v>Est</v>
      </c>
      <c r="M93" s="52" t="str">
        <v>Bureautique</v>
      </c>
      <c r="N93" s="52" t="str">
        <v>Classeur A4</v>
      </c>
      <c r="O93" s="52">
        <v>25</v>
      </c>
      <c r="P93" s="52">
        <v>3.2</v>
      </c>
      <c r="Q93" s="52">
        <v>80</v>
      </c>
    </row>
    <row r="94" spans="1:39" ht="16" x14ac:dyDescent="0.2">
      <c r="K94" s="52">
        <v>46082</v>
      </c>
      <c r="L94" s="52" t="str">
        <v>Est</v>
      </c>
      <c r="M94" s="52" t="str">
        <v>Bureautique</v>
      </c>
      <c r="N94" s="52" t="str">
        <v>Classeur A4</v>
      </c>
      <c r="O94" s="52">
        <v>25</v>
      </c>
      <c r="P94" s="52">
        <v>3.2</v>
      </c>
      <c r="Q94" s="52">
        <v>80</v>
      </c>
    </row>
    <row r="95" spans="1:39" ht="16" x14ac:dyDescent="0.2">
      <c r="K95" s="52">
        <v>46070</v>
      </c>
      <c r="L95" s="52" t="str">
        <v>Est</v>
      </c>
      <c r="M95" s="52" t="str">
        <v>Fournitures</v>
      </c>
      <c r="N95" s="52" t="str">
        <v>Surligneurs</v>
      </c>
      <c r="O95" s="52">
        <v>18</v>
      </c>
      <c r="P95" s="52">
        <v>3.8</v>
      </c>
      <c r="Q95" s="52">
        <v>68.399999999999991</v>
      </c>
    </row>
    <row r="96" spans="1:39" ht="16" x14ac:dyDescent="0.2">
      <c r="K96" s="52">
        <v>46052</v>
      </c>
      <c r="L96" s="52" t="str">
        <v>Nord</v>
      </c>
      <c r="M96" s="52" t="str">
        <v>Informatique</v>
      </c>
      <c r="N96" s="52" t="str">
        <v>Écran 24 pouces</v>
      </c>
      <c r="O96" s="52">
        <v>6</v>
      </c>
      <c r="P96" s="52">
        <v>159</v>
      </c>
      <c r="Q96" s="52">
        <v>954</v>
      </c>
    </row>
    <row r="97" spans="11:17" ht="16" x14ac:dyDescent="0.2">
      <c r="K97" s="52">
        <v>46040</v>
      </c>
      <c r="L97" s="52" t="str">
        <v>Nord</v>
      </c>
      <c r="M97" s="52" t="str">
        <v>Mobilier</v>
      </c>
      <c r="N97" s="52" t="str">
        <v>Bureau réglable</v>
      </c>
      <c r="O97" s="52">
        <v>2</v>
      </c>
      <c r="P97" s="52">
        <v>320</v>
      </c>
      <c r="Q97" s="52">
        <v>640</v>
      </c>
    </row>
    <row r="98" spans="11:17" ht="16" x14ac:dyDescent="0.2">
      <c r="K98" s="52">
        <v>46088</v>
      </c>
      <c r="L98" s="52" t="str">
        <v>Nord</v>
      </c>
      <c r="M98" s="52" t="str">
        <v>Mobilier</v>
      </c>
      <c r="N98" s="52" t="str">
        <v>Bureau réglable</v>
      </c>
      <c r="O98" s="52">
        <v>2</v>
      </c>
      <c r="P98" s="52">
        <v>320</v>
      </c>
      <c r="Q98" s="52">
        <v>640</v>
      </c>
    </row>
    <row r="99" spans="11:17" ht="16" x14ac:dyDescent="0.2">
      <c r="K99" s="52">
        <v>46064</v>
      </c>
      <c r="L99" s="52" t="str">
        <v>Nord</v>
      </c>
      <c r="M99" s="52" t="str">
        <v>Fournitures</v>
      </c>
      <c r="N99" s="52" t="str">
        <v>Stylos (boîte de 10)</v>
      </c>
      <c r="O99" s="52">
        <v>20</v>
      </c>
      <c r="P99" s="52">
        <v>5.5</v>
      </c>
      <c r="Q99" s="52">
        <v>110</v>
      </c>
    </row>
    <row r="100" spans="11:17" ht="16" x14ac:dyDescent="0.2">
      <c r="K100" s="52">
        <v>46028</v>
      </c>
      <c r="L100" s="52" t="str">
        <v>Nord</v>
      </c>
      <c r="M100" s="52" t="str">
        <v>Bureautique</v>
      </c>
      <c r="N100" s="52" t="str">
        <v>Ramette papier A4</v>
      </c>
      <c r="O100" s="52">
        <v>12</v>
      </c>
      <c r="P100" s="52">
        <v>4.5</v>
      </c>
      <c r="Q100" s="52">
        <v>54</v>
      </c>
    </row>
    <row r="101" spans="11:17" ht="16" x14ac:dyDescent="0.2">
      <c r="K101" s="52">
        <v>46076</v>
      </c>
      <c r="L101" s="52" t="str">
        <v>Nord</v>
      </c>
      <c r="M101" s="52" t="str">
        <v>Bureautique</v>
      </c>
      <c r="N101" s="52" t="str">
        <v>Ramette papier A4</v>
      </c>
      <c r="O101" s="52">
        <v>12</v>
      </c>
      <c r="P101" s="52">
        <v>4.5</v>
      </c>
      <c r="Q101" s="52">
        <v>54</v>
      </c>
    </row>
    <row r="102" spans="11:17" ht="16" x14ac:dyDescent="0.2">
      <c r="K102" s="52">
        <v>46049</v>
      </c>
      <c r="L102" s="52" t="str">
        <v>Ouest</v>
      </c>
      <c r="M102" s="52" t="str">
        <v>Mobilier</v>
      </c>
      <c r="N102" s="52" t="str">
        <v>Armoire basse</v>
      </c>
      <c r="O102" s="52">
        <v>1</v>
      </c>
      <c r="P102" s="52">
        <v>410</v>
      </c>
      <c r="Q102" s="52">
        <v>410</v>
      </c>
    </row>
    <row r="103" spans="11:17" ht="16" x14ac:dyDescent="0.2">
      <c r="K103" s="52">
        <v>46097</v>
      </c>
      <c r="L103" s="52" t="str">
        <v>Ouest</v>
      </c>
      <c r="M103" s="52" t="str">
        <v>Mobilier</v>
      </c>
      <c r="N103" s="52" t="str">
        <v>Armoire basse</v>
      </c>
      <c r="O103" s="52">
        <v>1</v>
      </c>
      <c r="P103" s="52">
        <v>410</v>
      </c>
      <c r="Q103" s="52">
        <v>410</v>
      </c>
    </row>
    <row r="104" spans="11:17" ht="16" x14ac:dyDescent="0.2">
      <c r="K104" s="52">
        <v>46061</v>
      </c>
      <c r="L104" s="52" t="str">
        <v>Ouest</v>
      </c>
      <c r="M104" s="52" t="str">
        <v>Informatique</v>
      </c>
      <c r="N104" s="52" t="str">
        <v>Casque USB</v>
      </c>
      <c r="O104" s="52">
        <v>7</v>
      </c>
      <c r="P104" s="52">
        <v>39</v>
      </c>
      <c r="Q104" s="52">
        <v>273</v>
      </c>
    </row>
    <row r="105" spans="11:17" ht="16" x14ac:dyDescent="0.2">
      <c r="K105" s="52">
        <v>46073</v>
      </c>
      <c r="L105" s="52" t="str">
        <v>Ouest</v>
      </c>
      <c r="M105" s="52" t="str">
        <v>Fournitures</v>
      </c>
      <c r="N105" s="52" t="str">
        <v>Trombones (boîte)</v>
      </c>
      <c r="O105" s="52">
        <v>22</v>
      </c>
      <c r="P105" s="52">
        <v>4.2</v>
      </c>
      <c r="Q105" s="52">
        <v>92.4</v>
      </c>
    </row>
    <row r="106" spans="11:17" ht="16" x14ac:dyDescent="0.2">
      <c r="K106" s="52">
        <v>46037</v>
      </c>
      <c r="L106" s="52" t="str">
        <v>Ouest</v>
      </c>
      <c r="M106" s="52" t="str">
        <v>Bureautique</v>
      </c>
      <c r="N106" s="52" t="str">
        <v>Agrafeuse</v>
      </c>
      <c r="O106" s="52">
        <v>8</v>
      </c>
      <c r="P106" s="52">
        <v>6.9</v>
      </c>
      <c r="Q106" s="52">
        <v>55.2</v>
      </c>
    </row>
    <row r="107" spans="11:17" ht="16" x14ac:dyDescent="0.2">
      <c r="K107" s="52">
        <v>46085</v>
      </c>
      <c r="L107" s="52" t="str">
        <v>Ouest</v>
      </c>
      <c r="M107" s="52" t="str">
        <v>Bureautique</v>
      </c>
      <c r="N107" s="52" t="str">
        <v>Agrafeuse</v>
      </c>
      <c r="O107" s="52">
        <v>8</v>
      </c>
      <c r="P107" s="52">
        <v>6.9</v>
      </c>
      <c r="Q107" s="52">
        <v>55.2</v>
      </c>
    </row>
    <row r="108" spans="11:17" ht="16" x14ac:dyDescent="0.2">
      <c r="K108" s="52">
        <v>46043</v>
      </c>
      <c r="L108" s="52" t="str">
        <v>Sud</v>
      </c>
      <c r="M108" s="52" t="str">
        <v>Mobilier</v>
      </c>
      <c r="N108" s="52" t="str">
        <v>Chaise ergonomique</v>
      </c>
      <c r="O108" s="52">
        <v>5</v>
      </c>
      <c r="P108" s="52">
        <v>145</v>
      </c>
      <c r="Q108" s="52">
        <v>725</v>
      </c>
    </row>
    <row r="109" spans="11:17" ht="16" x14ac:dyDescent="0.2">
      <c r="K109" s="52">
        <v>46091</v>
      </c>
      <c r="L109" s="52" t="str">
        <v>Sud</v>
      </c>
      <c r="M109" s="52" t="str">
        <v>Mobilier</v>
      </c>
      <c r="N109" s="52" t="str">
        <v>Chaise ergonomique</v>
      </c>
      <c r="O109" s="52">
        <v>5</v>
      </c>
      <c r="P109" s="52">
        <v>145</v>
      </c>
      <c r="Q109" s="52">
        <v>725</v>
      </c>
    </row>
    <row r="110" spans="11:17" ht="16" x14ac:dyDescent="0.2">
      <c r="K110" s="52">
        <v>46031</v>
      </c>
      <c r="L110" s="52" t="str">
        <v>Sud</v>
      </c>
      <c r="M110" s="52" t="str">
        <v>Bureautique</v>
      </c>
      <c r="N110" s="52" t="str">
        <v>Cartouche encre</v>
      </c>
      <c r="O110" s="52">
        <v>3</v>
      </c>
      <c r="P110" s="52">
        <v>89</v>
      </c>
      <c r="Q110" s="52">
        <v>267</v>
      </c>
    </row>
    <row r="111" spans="11:17" ht="16" x14ac:dyDescent="0.2">
      <c r="K111" s="52">
        <v>46079</v>
      </c>
      <c r="L111" s="52" t="str">
        <v>Sud</v>
      </c>
      <c r="M111" s="52" t="str">
        <v>Bureautique</v>
      </c>
      <c r="N111" s="52" t="str">
        <v>Cartouche encre</v>
      </c>
      <c r="O111" s="52">
        <v>3</v>
      </c>
      <c r="P111" s="52">
        <v>89</v>
      </c>
      <c r="Q111" s="52">
        <v>267</v>
      </c>
    </row>
    <row r="112" spans="11:17" ht="16" x14ac:dyDescent="0.2">
      <c r="K112" s="52">
        <v>46055</v>
      </c>
      <c r="L112" s="52" t="str">
        <v>Sud</v>
      </c>
      <c r="M112" s="52" t="str">
        <v>Informatique</v>
      </c>
      <c r="N112" s="52" t="str">
        <v>Clavier sans fil</v>
      </c>
      <c r="O112" s="52">
        <v>10</v>
      </c>
      <c r="P112" s="52">
        <v>24</v>
      </c>
      <c r="Q112" s="52">
        <v>240</v>
      </c>
    </row>
    <row r="113" spans="11:17" ht="16" x14ac:dyDescent="0.2">
      <c r="K113" s="52">
        <v>46067</v>
      </c>
      <c r="L113" s="52" t="str">
        <v>Sud</v>
      </c>
      <c r="M113" s="52" t="str">
        <v>Fournitures</v>
      </c>
      <c r="N113" s="52" t="str">
        <v>Post-it</v>
      </c>
      <c r="O113" s="52">
        <v>30</v>
      </c>
      <c r="P113" s="52">
        <v>2.1</v>
      </c>
      <c r="Q113" s="52">
        <v>63</v>
      </c>
    </row>
    <row r="114" spans="11:17" x14ac:dyDescent="0.2">
      <c r="K114" s="52"/>
      <c r="L114" s="52"/>
      <c r="M114" s="52"/>
      <c r="N114" s="52"/>
      <c r="O114" s="52"/>
      <c r="P114" s="52"/>
      <c r="Q114" s="52"/>
    </row>
  </sheetData>
  <mergeCells count="11">
    <mergeCell ref="A1:I1"/>
    <mergeCell ref="B3:I3"/>
    <mergeCell ref="B59:H59"/>
    <mergeCell ref="B87:I87"/>
    <mergeCell ref="B88:H88"/>
    <mergeCell ref="B32:I32"/>
    <mergeCell ref="B33:H33"/>
    <mergeCell ref="B43:I43"/>
    <mergeCell ref="B48:I48"/>
    <mergeCell ref="B49:H49"/>
    <mergeCell ref="B58:I58"/>
  </mergeCells>
  <pageMargins left="0.75" right="0.75" top="1" bottom="1" header="0.5" footer="0.5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71F5A-8899-F049-8B39-F4DA39DB9F93}">
  <sheetPr>
    <tabColor theme="8" tint="0.79998168889431442"/>
  </sheetPr>
  <dimension ref="A1:G48"/>
  <sheetViews>
    <sheetView showGridLines="0" workbookViewId="0">
      <pane ySplit="1" topLeftCell="A2" activePane="bottomLeft" state="frozen"/>
      <selection pane="bottomLeft" activeCell="C6" sqref="C6"/>
    </sheetView>
  </sheetViews>
  <sheetFormatPr baseColWidth="10" defaultColWidth="8.83203125" defaultRowHeight="15" x14ac:dyDescent="0.2"/>
  <cols>
    <col min="1" max="1" width="2.83203125" style="34" customWidth="1"/>
    <col min="2" max="2" width="35.83203125" style="34" customWidth="1"/>
    <col min="3" max="6" width="30.83203125" style="34" customWidth="1"/>
    <col min="7" max="7" width="2.83203125" style="37" customWidth="1"/>
    <col min="8" max="16384" width="8.83203125" style="34"/>
  </cols>
  <sheetData>
    <row r="1" spans="1:7" ht="19" x14ac:dyDescent="0.2">
      <c r="A1" s="111" t="s">
        <v>176</v>
      </c>
      <c r="B1" s="111"/>
      <c r="C1" s="111"/>
      <c r="D1" s="111"/>
      <c r="E1" s="111"/>
      <c r="F1" s="111"/>
      <c r="G1" s="111"/>
    </row>
    <row r="3" spans="1:7" x14ac:dyDescent="0.2">
      <c r="A3" s="35"/>
      <c r="B3" s="112" t="s">
        <v>185</v>
      </c>
      <c r="C3" s="112"/>
      <c r="D3" s="112"/>
      <c r="E3" s="112"/>
      <c r="F3" s="112"/>
      <c r="G3" s="113"/>
    </row>
    <row r="5" spans="1:7" ht="16" x14ac:dyDescent="0.2">
      <c r="B5" s="34" t="s">
        <v>184</v>
      </c>
      <c r="C5" s="36" t="s">
        <v>183</v>
      </c>
      <c r="D5" s="76" t="s">
        <v>201</v>
      </c>
      <c r="E5" s="36" t="s">
        <v>182</v>
      </c>
      <c r="F5" s="76" t="s">
        <v>200</v>
      </c>
    </row>
    <row r="6" spans="1:7" ht="16" x14ac:dyDescent="0.2">
      <c r="B6" s="36" t="s">
        <v>178</v>
      </c>
      <c r="C6" s="72"/>
      <c r="D6" s="77" t="str">
        <f>_xlfn.TEXTBEFORE(E_Mails[[#This Row],[Adresse e-mail]],"@")</f>
        <v>contact</v>
      </c>
      <c r="E6" s="72"/>
      <c r="F6" s="78" t="str">
        <f>_xlfn.TEXTAFTER(E_Mails[[#This Row],[Adresse e-mail]],"@")</f>
        <v>morpheus-formation.fr</v>
      </c>
    </row>
    <row r="7" spans="1:7" ht="16" x14ac:dyDescent="0.2">
      <c r="B7" s="73" t="s">
        <v>177</v>
      </c>
      <c r="C7" s="72"/>
      <c r="D7" s="77" t="str">
        <f>_xlfn.TEXTBEFORE(E_Mails[[#This Row],[Adresse e-mail]],"@")</f>
        <v>hello</v>
      </c>
      <c r="E7" s="72"/>
      <c r="F7" s="78" t="str">
        <f>_xlfn.TEXTAFTER(E_Mails[[#This Row],[Adresse e-mail]],"@")</f>
        <v>neobi-formation.fr</v>
      </c>
    </row>
    <row r="8" spans="1:7" ht="16" x14ac:dyDescent="0.2">
      <c r="B8" s="73" t="s">
        <v>179</v>
      </c>
      <c r="C8" s="72"/>
      <c r="D8" s="77" t="str">
        <f>_xlfn.TEXTBEFORE(E_Mails[[#This Row],[Adresse e-mail]],"@")</f>
        <v>support</v>
      </c>
      <c r="E8" s="72"/>
      <c r="F8" s="78" t="str">
        <f>_xlfn.TEXTAFTER(E_Mails[[#This Row],[Adresse e-mail]],"@")</f>
        <v>morpheus-formation.fr</v>
      </c>
    </row>
    <row r="9" spans="1:7" ht="16" x14ac:dyDescent="0.2">
      <c r="B9" s="73" t="s">
        <v>180</v>
      </c>
      <c r="C9" s="72"/>
      <c r="D9" s="77" t="str">
        <f>_xlfn.TEXTBEFORE(E_Mails[[#This Row],[Adresse e-mail]],"@")</f>
        <v>hello</v>
      </c>
      <c r="E9" s="72"/>
      <c r="F9" s="78" t="str">
        <f>_xlfn.TEXTAFTER(E_Mails[[#This Row],[Adresse e-mail]],"@")</f>
        <v>genia-academie.fr</v>
      </c>
    </row>
    <row r="10" spans="1:7" ht="16" x14ac:dyDescent="0.2">
      <c r="B10" s="73" t="s">
        <v>181</v>
      </c>
      <c r="C10" s="72"/>
      <c r="D10" s="77" t="str">
        <f>_xlfn.TEXTBEFORE(E_Mails[[#This Row],[Adresse e-mail]],"@")</f>
        <v>contact</v>
      </c>
      <c r="E10" s="72"/>
      <c r="F10" s="78" t="str">
        <f>_xlfn.TEXTAFTER(E_Mails[[#This Row],[Adresse e-mail]],"@")</f>
        <v>formateur-excel.fr</v>
      </c>
    </row>
    <row r="13" spans="1:7" x14ac:dyDescent="0.2">
      <c r="A13" s="35"/>
      <c r="B13" s="114" t="s">
        <v>202</v>
      </c>
      <c r="C13" s="128"/>
      <c r="D13" s="128"/>
      <c r="E13" s="128"/>
      <c r="F13" s="114"/>
      <c r="G13" s="115"/>
    </row>
    <row r="15" spans="1:7" ht="16" x14ac:dyDescent="0.2">
      <c r="B15" s="84" t="s">
        <v>184</v>
      </c>
      <c r="C15" s="85" t="s">
        <v>183</v>
      </c>
      <c r="D15" s="85" t="s">
        <v>182</v>
      </c>
      <c r="E15" s="86" t="s">
        <v>95</v>
      </c>
      <c r="F15" s="87"/>
    </row>
    <row r="16" spans="1:7" ht="16" x14ac:dyDescent="0.2">
      <c r="B16" s="88" t="s">
        <v>178</v>
      </c>
      <c r="C16" s="89"/>
      <c r="D16" s="90"/>
      <c r="E16" s="91" t="str" cm="1">
        <f t="array" ref="E16:F16">_xlfn.TEXTSPLIT(B16,"@")</f>
        <v>contact</v>
      </c>
      <c r="F16" s="92" t="str">
        <v>morpheus-formation.fr</v>
      </c>
    </row>
    <row r="17" spans="1:7" ht="16" x14ac:dyDescent="0.2">
      <c r="B17" s="88" t="s">
        <v>177</v>
      </c>
      <c r="C17" s="89"/>
      <c r="D17" s="90"/>
      <c r="E17" s="91" t="str" cm="1">
        <f t="array" ref="E17:F17">_xlfn.TEXTSPLIT(B17,"@")</f>
        <v>hello</v>
      </c>
      <c r="F17" s="92" t="str">
        <v>neobi-formation.fr</v>
      </c>
    </row>
    <row r="18" spans="1:7" ht="16" x14ac:dyDescent="0.2">
      <c r="B18" s="88" t="s">
        <v>179</v>
      </c>
      <c r="C18" s="89"/>
      <c r="D18" s="90"/>
      <c r="E18" s="91" t="str" cm="1">
        <f t="array" ref="E18:F18">_xlfn.TEXTSPLIT(B18,"@")</f>
        <v>support</v>
      </c>
      <c r="F18" s="92" t="str">
        <v>morpheus-formation.fr</v>
      </c>
    </row>
    <row r="19" spans="1:7" ht="16" x14ac:dyDescent="0.2">
      <c r="B19" s="88" t="s">
        <v>180</v>
      </c>
      <c r="C19" s="89"/>
      <c r="D19" s="90"/>
      <c r="E19" s="91" t="str" cm="1">
        <f t="array" ref="E19:F19">_xlfn.TEXTSPLIT(B19,"@")</f>
        <v>hello</v>
      </c>
      <c r="F19" s="92" t="str">
        <v>genia-academie.fr</v>
      </c>
    </row>
    <row r="20" spans="1:7" ht="16" x14ac:dyDescent="0.2">
      <c r="B20" s="88" t="s">
        <v>181</v>
      </c>
      <c r="C20" s="89"/>
      <c r="D20" s="90"/>
      <c r="E20" s="91" t="str" cm="1">
        <f t="array" ref="E20:F20">_xlfn.TEXTSPLIT(B20,"@")</f>
        <v>contact</v>
      </c>
      <c r="F20" s="92" t="str">
        <v>formateur-excel.fr</v>
      </c>
    </row>
    <row r="23" spans="1:7" x14ac:dyDescent="0.2">
      <c r="A23" s="35"/>
      <c r="B23" s="114" t="s">
        <v>216</v>
      </c>
      <c r="C23" s="114"/>
      <c r="D23" s="114"/>
      <c r="E23" s="114"/>
      <c r="F23" s="114"/>
      <c r="G23" s="115"/>
    </row>
    <row r="25" spans="1:7" ht="16" x14ac:dyDescent="0.2">
      <c r="B25" s="80" t="s">
        <v>203</v>
      </c>
      <c r="C25" s="81" t="s">
        <v>204</v>
      </c>
    </row>
    <row r="26" spans="1:7" ht="16" x14ac:dyDescent="0.2">
      <c r="B26" s="82" t="s">
        <v>205</v>
      </c>
      <c r="C26" s="83" t="s">
        <v>206</v>
      </c>
    </row>
    <row r="27" spans="1:7" ht="16" x14ac:dyDescent="0.2">
      <c r="B27" s="82" t="s">
        <v>207</v>
      </c>
      <c r="C27" s="83"/>
    </row>
    <row r="28" spans="1:7" ht="16" x14ac:dyDescent="0.2">
      <c r="B28" s="82" t="s">
        <v>208</v>
      </c>
      <c r="C28" s="83">
        <v>57000</v>
      </c>
    </row>
    <row r="29" spans="1:7" ht="16" x14ac:dyDescent="0.2">
      <c r="B29" s="82" t="s">
        <v>3</v>
      </c>
      <c r="C29" s="83" t="s">
        <v>6</v>
      </c>
    </row>
    <row r="30" spans="1:7" ht="15" customHeight="1" x14ac:dyDescent="0.2"/>
    <row r="31" spans="1:7" x14ac:dyDescent="0.2">
      <c r="B31" s="125" t="s">
        <v>209</v>
      </c>
      <c r="C31" s="126"/>
      <c r="E31" s="127" t="s">
        <v>95</v>
      </c>
      <c r="F31" s="127"/>
    </row>
    <row r="32" spans="1:7" x14ac:dyDescent="0.2">
      <c r="B32" s="129"/>
      <c r="C32" s="129"/>
      <c r="E32" s="130" t="str">
        <f>_xlfn.TEXTJOIN(", ",TRUE,C25:C29)</f>
        <v>Valeur, 12 rue des Lilas, 57000, Metz</v>
      </c>
      <c r="F32" s="130"/>
    </row>
    <row r="33" spans="1:7" x14ac:dyDescent="0.2">
      <c r="B33" s="129"/>
      <c r="C33" s="129"/>
      <c r="E33" s="130"/>
      <c r="F33" s="130"/>
    </row>
    <row r="36" spans="1:7" x14ac:dyDescent="0.2">
      <c r="A36" s="35"/>
      <c r="B36" s="114" t="s">
        <v>215</v>
      </c>
      <c r="C36" s="114"/>
      <c r="D36" s="114"/>
      <c r="E36" s="114"/>
      <c r="F36" s="114"/>
      <c r="G36" s="115"/>
    </row>
    <row r="38" spans="1:7" ht="16" x14ac:dyDescent="0.2">
      <c r="B38" s="15" t="s">
        <v>211</v>
      </c>
      <c r="C38" s="15" t="s">
        <v>212</v>
      </c>
      <c r="E38" s="74" t="s">
        <v>217</v>
      </c>
      <c r="F38" s="94" t="s">
        <v>95</v>
      </c>
    </row>
    <row r="39" spans="1:7" ht="16" x14ac:dyDescent="0.2">
      <c r="B39" s="15" t="s">
        <v>112</v>
      </c>
      <c r="C39" s="15" t="s">
        <v>214</v>
      </c>
      <c r="E39" s="75"/>
      <c r="F39" s="79" t="str" cm="1">
        <f t="array" ref="F39">_xlfn.TEXTJOIN(", ",FALSE,_xlfn._xlws.FILTER(Factures[ID facture],Factures[Statut]="Non payée"))</f>
        <v>F-002, F-003, F-005, F-007</v>
      </c>
    </row>
    <row r="40" spans="1:7" ht="16" x14ac:dyDescent="0.2">
      <c r="B40" s="15" t="s">
        <v>115</v>
      </c>
      <c r="C40" s="15" t="s">
        <v>213</v>
      </c>
    </row>
    <row r="41" spans="1:7" ht="16" x14ac:dyDescent="0.2">
      <c r="B41" s="15" t="s">
        <v>117</v>
      </c>
      <c r="C41" s="15" t="s">
        <v>213</v>
      </c>
    </row>
    <row r="42" spans="1:7" ht="16" x14ac:dyDescent="0.2">
      <c r="B42" s="15" t="s">
        <v>120</v>
      </c>
      <c r="C42" s="15" t="s">
        <v>214</v>
      </c>
    </row>
    <row r="43" spans="1:7" ht="16" x14ac:dyDescent="0.2">
      <c r="B43" s="15" t="s">
        <v>123</v>
      </c>
      <c r="C43" s="93" t="s">
        <v>213</v>
      </c>
    </row>
    <row r="44" spans="1:7" ht="16" x14ac:dyDescent="0.2">
      <c r="B44" s="15" t="s">
        <v>126</v>
      </c>
      <c r="C44" s="93" t="s">
        <v>214</v>
      </c>
    </row>
    <row r="45" spans="1:7" ht="16" x14ac:dyDescent="0.2">
      <c r="B45" s="15" t="s">
        <v>129</v>
      </c>
      <c r="C45" s="93" t="s">
        <v>213</v>
      </c>
    </row>
    <row r="46" spans="1:7" ht="16" x14ac:dyDescent="0.2">
      <c r="B46" s="15" t="s">
        <v>132</v>
      </c>
      <c r="C46" s="34" t="s">
        <v>214</v>
      </c>
    </row>
    <row r="47" spans="1:7" ht="16" x14ac:dyDescent="0.2">
      <c r="B47" s="15" t="s">
        <v>134</v>
      </c>
      <c r="C47" s="34" t="s">
        <v>214</v>
      </c>
    </row>
    <row r="48" spans="1:7" ht="16" x14ac:dyDescent="0.2">
      <c r="B48" s="15" t="s">
        <v>136</v>
      </c>
      <c r="C48" s="34" t="s">
        <v>214</v>
      </c>
    </row>
  </sheetData>
  <mergeCells count="9">
    <mergeCell ref="B36:G36"/>
    <mergeCell ref="B23:G23"/>
    <mergeCell ref="B31:C31"/>
    <mergeCell ref="E31:F31"/>
    <mergeCell ref="A1:G1"/>
    <mergeCell ref="B3:G3"/>
    <mergeCell ref="B13:G13"/>
    <mergeCell ref="B32:C33"/>
    <mergeCell ref="E32:F33"/>
  </mergeCells>
  <phoneticPr fontId="7" type="noConversion"/>
  <pageMargins left="0.75" right="0.75" top="1" bottom="1" header="0.5" footer="0.5"/>
  <tableParts count="2">
    <tablePart r:id="rId1"/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0.79998168889431442"/>
  </sheetPr>
  <dimension ref="A1:H56"/>
  <sheetViews>
    <sheetView showGridLines="0" workbookViewId="0">
      <pane ySplit="1" topLeftCell="A2" activePane="bottomLeft" state="frozen"/>
      <selection activeCell="C13" sqref="C13"/>
      <selection pane="bottomLeft" activeCell="G6" sqref="G6"/>
    </sheetView>
  </sheetViews>
  <sheetFormatPr baseColWidth="10" defaultColWidth="8.83203125" defaultRowHeight="15" x14ac:dyDescent="0.2"/>
  <cols>
    <col min="1" max="1" width="2.83203125" style="15" customWidth="1"/>
    <col min="2" max="2" width="18.33203125" style="15" customWidth="1"/>
    <col min="3" max="3" width="22.83203125" style="15" customWidth="1"/>
    <col min="4" max="4" width="18.83203125" style="15" customWidth="1"/>
    <col min="5" max="5" width="10.83203125" style="15" customWidth="1"/>
    <col min="6" max="7" width="30.83203125" style="15" customWidth="1"/>
    <col min="8" max="8" width="2.83203125" style="49" customWidth="1"/>
    <col min="9" max="16384" width="8.83203125" style="15"/>
  </cols>
  <sheetData>
    <row r="1" spans="1:8" ht="19" x14ac:dyDescent="0.2">
      <c r="A1" s="119" t="s">
        <v>88</v>
      </c>
      <c r="B1" s="119"/>
      <c r="C1" s="119"/>
      <c r="D1" s="119"/>
      <c r="E1" s="119"/>
      <c r="F1" s="119"/>
      <c r="G1" s="119"/>
      <c r="H1" s="119"/>
    </row>
    <row r="3" spans="1:8" x14ac:dyDescent="0.2">
      <c r="A3" s="48"/>
      <c r="B3" s="132" t="s">
        <v>147</v>
      </c>
      <c r="C3" s="132"/>
      <c r="D3" s="132"/>
      <c r="E3" s="132"/>
      <c r="F3" s="132"/>
      <c r="G3" s="132"/>
      <c r="H3" s="62"/>
    </row>
    <row r="5" spans="1:8" ht="16" x14ac:dyDescent="0.2">
      <c r="B5" s="14" t="s">
        <v>1</v>
      </c>
      <c r="C5" s="14" t="s">
        <v>2</v>
      </c>
      <c r="D5" s="14" t="s">
        <v>3</v>
      </c>
      <c r="E5" s="14"/>
      <c r="F5" s="63" t="s">
        <v>108</v>
      </c>
      <c r="G5" s="64" t="s">
        <v>16</v>
      </c>
    </row>
    <row r="6" spans="1:8" ht="16" x14ac:dyDescent="0.2">
      <c r="B6" s="16" t="s">
        <v>4</v>
      </c>
      <c r="C6" s="16" t="s">
        <v>5</v>
      </c>
      <c r="D6" s="16" t="s">
        <v>6</v>
      </c>
      <c r="E6" s="14"/>
      <c r="F6" s="65" t="s">
        <v>94</v>
      </c>
      <c r="G6" s="66"/>
    </row>
    <row r="7" spans="1:8" ht="16" x14ac:dyDescent="0.2">
      <c r="B7" s="16" t="s">
        <v>7</v>
      </c>
      <c r="C7" s="16" t="s">
        <v>8</v>
      </c>
      <c r="D7" s="16" t="s">
        <v>9</v>
      </c>
      <c r="E7" s="14"/>
      <c r="F7" s="26" t="s">
        <v>95</v>
      </c>
      <c r="G7" s="33" t="str">
        <f>_xlfn.XLOOKUP(G5,Clients[ID Client],Clients[Nom])</f>
        <v>Morel Industrie</v>
      </c>
    </row>
    <row r="8" spans="1:8" ht="16" x14ac:dyDescent="0.2">
      <c r="B8" s="16" t="s">
        <v>10</v>
      </c>
      <c r="C8" s="16" t="s">
        <v>11</v>
      </c>
      <c r="D8" s="16" t="s">
        <v>12</v>
      </c>
      <c r="E8" s="14"/>
    </row>
    <row r="9" spans="1:8" ht="16" x14ac:dyDescent="0.2">
      <c r="B9" s="16" t="s">
        <v>13</v>
      </c>
      <c r="C9" s="16" t="s">
        <v>14</v>
      </c>
      <c r="D9" s="16" t="s">
        <v>15</v>
      </c>
      <c r="E9" s="14"/>
      <c r="F9" s="65" t="s">
        <v>94</v>
      </c>
      <c r="G9" s="67" t="s">
        <v>17</v>
      </c>
    </row>
    <row r="10" spans="1:8" ht="16" x14ac:dyDescent="0.2">
      <c r="B10" s="16" t="s">
        <v>16</v>
      </c>
      <c r="C10" s="16" t="s">
        <v>17</v>
      </c>
      <c r="D10" s="16" t="s">
        <v>18</v>
      </c>
      <c r="E10" s="14"/>
      <c r="F10" s="63" t="s">
        <v>108</v>
      </c>
      <c r="G10" s="66"/>
    </row>
    <row r="11" spans="1:8" ht="16" x14ac:dyDescent="0.2">
      <c r="B11" s="16" t="s">
        <v>19</v>
      </c>
      <c r="C11" s="16" t="s">
        <v>20</v>
      </c>
      <c r="D11" s="16" t="s">
        <v>21</v>
      </c>
      <c r="E11" s="14"/>
      <c r="F11" s="26" t="s">
        <v>95</v>
      </c>
      <c r="G11" s="33" t="str">
        <f>_xlfn.XLOOKUP(G9,Clients[Nom],Clients[ID Client])</f>
        <v>C005</v>
      </c>
    </row>
    <row r="12" spans="1:8" ht="16" x14ac:dyDescent="0.2">
      <c r="B12" s="16" t="s">
        <v>22</v>
      </c>
      <c r="C12" s="16" t="s">
        <v>23</v>
      </c>
      <c r="D12" s="16" t="s">
        <v>24</v>
      </c>
      <c r="E12" s="14"/>
    </row>
    <row r="13" spans="1:8" ht="16" x14ac:dyDescent="0.2">
      <c r="B13" s="16" t="s">
        <v>25</v>
      </c>
      <c r="C13" s="16" t="s">
        <v>26</v>
      </c>
      <c r="D13" s="16" t="s">
        <v>27</v>
      </c>
      <c r="E13" s="14"/>
      <c r="F13" s="65" t="s">
        <v>94</v>
      </c>
      <c r="G13" s="67" t="s">
        <v>97</v>
      </c>
    </row>
    <row r="14" spans="1:8" ht="32" x14ac:dyDescent="0.2">
      <c r="B14" s="16" t="s">
        <v>28</v>
      </c>
      <c r="C14" s="16" t="s">
        <v>29</v>
      </c>
      <c r="D14" s="16" t="s">
        <v>6</v>
      </c>
      <c r="E14" s="14"/>
      <c r="F14" s="63" t="s">
        <v>109</v>
      </c>
      <c r="G14" s="66"/>
    </row>
    <row r="15" spans="1:8" ht="16" x14ac:dyDescent="0.2">
      <c r="B15" s="16" t="s">
        <v>30</v>
      </c>
      <c r="C15" s="16" t="s">
        <v>31</v>
      </c>
      <c r="D15" s="16" t="s">
        <v>9</v>
      </c>
      <c r="E15" s="14"/>
      <c r="F15" s="26" t="s">
        <v>95</v>
      </c>
      <c r="G15" s="33" t="str">
        <f>_xlfn.XLOOKUP(G13,Clients[Nom],Clients[ID Client],"Inconnu")</f>
        <v>Inconnu</v>
      </c>
    </row>
    <row r="18" spans="1:8" x14ac:dyDescent="0.2">
      <c r="A18" s="48"/>
      <c r="B18" s="132" t="s">
        <v>210</v>
      </c>
      <c r="C18" s="132"/>
      <c r="D18" s="132"/>
      <c r="E18" s="132"/>
      <c r="F18" s="132"/>
      <c r="G18" s="132"/>
      <c r="H18" s="62"/>
    </row>
    <row r="20" spans="1:8" ht="16" x14ac:dyDescent="0.2">
      <c r="B20" s="14" t="s">
        <v>110</v>
      </c>
      <c r="C20" s="14" t="s">
        <v>32</v>
      </c>
      <c r="F20" s="68"/>
      <c r="G20" s="69" t="s">
        <v>96</v>
      </c>
    </row>
    <row r="21" spans="1:8" ht="16" x14ac:dyDescent="0.2">
      <c r="B21" s="18">
        <v>0</v>
      </c>
      <c r="C21" s="19">
        <v>0</v>
      </c>
      <c r="F21" s="67" t="s">
        <v>38</v>
      </c>
      <c r="G21" s="67">
        <v>40</v>
      </c>
    </row>
    <row r="22" spans="1:8" ht="16" x14ac:dyDescent="0.2">
      <c r="B22" s="18">
        <v>10</v>
      </c>
      <c r="C22" s="19">
        <v>0.05</v>
      </c>
      <c r="F22" s="67" t="s">
        <v>32</v>
      </c>
      <c r="G22" s="66"/>
    </row>
    <row r="23" spans="1:8" ht="16" x14ac:dyDescent="0.2">
      <c r="B23" s="18">
        <v>25</v>
      </c>
      <c r="C23" s="19">
        <v>0.08</v>
      </c>
      <c r="F23" s="26" t="s">
        <v>95</v>
      </c>
      <c r="G23" s="70">
        <f>_xlfn.XLOOKUP(G21,Remises_Fournisseur[Quantité MIN],Remises_Fournisseur[Taux de remise],,-1)</f>
        <v>0.08</v>
      </c>
    </row>
    <row r="24" spans="1:8" x14ac:dyDescent="0.2">
      <c r="B24" s="18">
        <v>50</v>
      </c>
      <c r="C24" s="19">
        <v>0.12</v>
      </c>
    </row>
    <row r="25" spans="1:8" x14ac:dyDescent="0.2">
      <c r="B25" s="18">
        <v>100</v>
      </c>
      <c r="C25" s="19">
        <v>0.18</v>
      </c>
    </row>
    <row r="28" spans="1:8" x14ac:dyDescent="0.2">
      <c r="A28" s="48"/>
      <c r="B28" s="132" t="s">
        <v>150</v>
      </c>
      <c r="C28" s="132"/>
      <c r="D28" s="132"/>
      <c r="E28" s="132"/>
      <c r="F28" s="132"/>
      <c r="G28" s="132"/>
      <c r="H28" s="62"/>
    </row>
    <row r="30" spans="1:8" ht="16" x14ac:dyDescent="0.2">
      <c r="B30" s="12" t="s">
        <v>98</v>
      </c>
      <c r="C30" s="12" t="s">
        <v>99</v>
      </c>
      <c r="D30" s="96" t="s">
        <v>95</v>
      </c>
      <c r="F30" s="15" t="s">
        <v>98</v>
      </c>
      <c r="G30" s="15" t="s">
        <v>100</v>
      </c>
    </row>
    <row r="31" spans="1:8" ht="16" x14ac:dyDescent="0.2">
      <c r="B31" s="20">
        <v>19</v>
      </c>
      <c r="C31" s="21"/>
      <c r="D31" s="97" t="str">
        <f>_xlfn.XLOOKUP(Âges[[#This Row],[Âge]],Tranche_Ages[Âge],Tranche_Ages[Tranche],,-1)</f>
        <v>15-24 ans</v>
      </c>
      <c r="F31" s="68">
        <v>0</v>
      </c>
      <c r="G31" s="68" t="s">
        <v>101</v>
      </c>
    </row>
    <row r="32" spans="1:8" ht="16" x14ac:dyDescent="0.2">
      <c r="B32" s="20">
        <v>40</v>
      </c>
      <c r="C32" s="21"/>
      <c r="D32" s="97" t="str">
        <f>_xlfn.XLOOKUP(Âges[[#This Row],[Âge]],Tranche_Ages[Âge],Tranche_Ages[Tranche],,-1)</f>
        <v>35-44 ans</v>
      </c>
      <c r="F32" s="68">
        <v>15</v>
      </c>
      <c r="G32" s="68" t="s">
        <v>102</v>
      </c>
    </row>
    <row r="33" spans="1:7" ht="16" x14ac:dyDescent="0.2">
      <c r="B33" s="20">
        <v>16</v>
      </c>
      <c r="C33" s="21"/>
      <c r="D33" s="97" t="str">
        <f>_xlfn.XLOOKUP(Âges[[#This Row],[Âge]],Tranche_Ages[Âge],Tranche_Ages[Tranche],,-1)</f>
        <v>15-24 ans</v>
      </c>
      <c r="F33" s="68">
        <v>25</v>
      </c>
      <c r="G33" s="68" t="s">
        <v>103</v>
      </c>
    </row>
    <row r="34" spans="1:7" ht="16" x14ac:dyDescent="0.2">
      <c r="B34" s="20">
        <v>10</v>
      </c>
      <c r="C34" s="21"/>
      <c r="D34" s="97" t="str">
        <f>_xlfn.XLOOKUP(Âges[[#This Row],[Âge]],Tranche_Ages[Âge],Tranche_Ages[Tranche],,-1)</f>
        <v>0-14 ans</v>
      </c>
      <c r="F34" s="68">
        <v>35</v>
      </c>
      <c r="G34" s="68" t="s">
        <v>104</v>
      </c>
    </row>
    <row r="35" spans="1:7" ht="16" x14ac:dyDescent="0.2">
      <c r="B35" s="20">
        <v>56</v>
      </c>
      <c r="C35" s="21"/>
      <c r="D35" s="97" t="str">
        <f>_xlfn.XLOOKUP(Âges[[#This Row],[Âge]],Tranche_Ages[Âge],Tranche_Ages[Tranche],,-1)</f>
        <v>55-64 ans</v>
      </c>
      <c r="F35" s="68">
        <v>45</v>
      </c>
      <c r="G35" s="68" t="s">
        <v>105</v>
      </c>
    </row>
    <row r="36" spans="1:7" ht="16" x14ac:dyDescent="0.2">
      <c r="B36" s="20">
        <v>80</v>
      </c>
      <c r="C36" s="21"/>
      <c r="D36" s="97" t="str">
        <f>_xlfn.XLOOKUP(Âges[[#This Row],[Âge]],Tranche_Ages[Âge],Tranche_Ages[Tranche],,-1)</f>
        <v>Plus de 65 ans</v>
      </c>
      <c r="F36" s="68">
        <v>55</v>
      </c>
      <c r="G36" s="68" t="s">
        <v>106</v>
      </c>
    </row>
    <row r="37" spans="1:7" ht="16" x14ac:dyDescent="0.2">
      <c r="B37" s="20">
        <v>39</v>
      </c>
      <c r="C37" s="21"/>
      <c r="D37" s="97" t="str">
        <f>_xlfn.XLOOKUP(Âges[[#This Row],[Âge]],Tranche_Ages[Âge],Tranche_Ages[Tranche],,-1)</f>
        <v>35-44 ans</v>
      </c>
      <c r="F37" s="68">
        <v>65</v>
      </c>
      <c r="G37" s="68" t="s">
        <v>107</v>
      </c>
    </row>
    <row r="38" spans="1:7" ht="16" x14ac:dyDescent="0.2">
      <c r="B38" s="20">
        <v>32</v>
      </c>
      <c r="C38" s="21"/>
      <c r="D38" s="97" t="str">
        <f>_xlfn.XLOOKUP(Âges[[#This Row],[Âge]],Tranche_Ages[Âge],Tranche_Ages[Tranche],,-1)</f>
        <v>25-34 ans</v>
      </c>
    </row>
    <row r="39" spans="1:7" ht="16" x14ac:dyDescent="0.2">
      <c r="B39" s="20">
        <v>53</v>
      </c>
      <c r="C39" s="21"/>
      <c r="D39" s="97" t="str">
        <f>_xlfn.XLOOKUP(Âges[[#This Row],[Âge]],Tranche_Ages[Âge],Tranche_Ages[Tranche],,-1)</f>
        <v>45-54 ans</v>
      </c>
    </row>
    <row r="40" spans="1:7" ht="16" x14ac:dyDescent="0.2">
      <c r="B40" s="20">
        <v>25</v>
      </c>
      <c r="C40" s="21"/>
      <c r="D40" s="97" t="str">
        <f>_xlfn.XLOOKUP(Âges[[#This Row],[Âge]],Tranche_Ages[Âge],Tranche_Ages[Tranche],,-1)</f>
        <v>25-34 ans</v>
      </c>
    </row>
    <row r="41" spans="1:7" ht="16" x14ac:dyDescent="0.2">
      <c r="B41" s="20">
        <v>6</v>
      </c>
      <c r="C41" s="21"/>
      <c r="D41" s="97" t="str">
        <f>_xlfn.XLOOKUP(Âges[[#This Row],[Âge]],Tranche_Ages[Âge],Tranche_Ages[Tranche],,-1)</f>
        <v>0-14 ans</v>
      </c>
    </row>
    <row r="44" spans="1:7" x14ac:dyDescent="0.2">
      <c r="A44" s="48"/>
      <c r="B44" s="132" t="s">
        <v>151</v>
      </c>
      <c r="C44" s="132"/>
      <c r="D44" s="132"/>
      <c r="E44" s="132"/>
      <c r="F44" s="132"/>
      <c r="G44" s="132"/>
    </row>
    <row r="46" spans="1:7" ht="16" x14ac:dyDescent="0.2">
      <c r="B46" s="14" t="s">
        <v>111</v>
      </c>
      <c r="C46" s="14" t="s">
        <v>2</v>
      </c>
      <c r="D46" s="14" t="s">
        <v>3</v>
      </c>
      <c r="F46" s="67" t="s">
        <v>138</v>
      </c>
      <c r="G46" s="67" t="s">
        <v>129</v>
      </c>
    </row>
    <row r="47" spans="1:7" ht="16" x14ac:dyDescent="0.2">
      <c r="B47" s="16" t="s">
        <v>112</v>
      </c>
      <c r="C47" s="16" t="s">
        <v>113</v>
      </c>
      <c r="D47" s="16" t="s">
        <v>114</v>
      </c>
      <c r="F47" s="67" t="s">
        <v>2</v>
      </c>
      <c r="G47" s="71" t="str" cm="1">
        <f t="array" ref="G47:G48">TRANSPOSE(_xlfn.XLOOKUP(G46,Fournisseurs[Fournisseur],Fournisseurs[[Nom]:[Ville]]))</f>
        <v>Schneider Electric</v>
      </c>
    </row>
    <row r="48" spans="1:7" ht="16" x14ac:dyDescent="0.2">
      <c r="B48" s="16" t="s">
        <v>115</v>
      </c>
      <c r="C48" s="16" t="s">
        <v>116</v>
      </c>
      <c r="D48" s="16" t="s">
        <v>24</v>
      </c>
      <c r="F48" s="67" t="s">
        <v>3</v>
      </c>
      <c r="G48" s="67" t="str">
        <v>Rueil-Malmaison</v>
      </c>
    </row>
    <row r="49" spans="2:7" ht="16" x14ac:dyDescent="0.2">
      <c r="B49" s="16" t="s">
        <v>117</v>
      </c>
      <c r="C49" s="16" t="s">
        <v>118</v>
      </c>
      <c r="D49" s="16" t="s">
        <v>119</v>
      </c>
    </row>
    <row r="50" spans="2:7" ht="16" x14ac:dyDescent="0.2">
      <c r="B50" s="16" t="s">
        <v>120</v>
      </c>
      <c r="C50" s="16" t="s">
        <v>121</v>
      </c>
      <c r="D50" s="16" t="s">
        <v>122</v>
      </c>
      <c r="F50" s="131" t="s">
        <v>95</v>
      </c>
      <c r="G50" s="131"/>
    </row>
    <row r="51" spans="2:7" ht="16" x14ac:dyDescent="0.2">
      <c r="B51" s="16" t="s">
        <v>123</v>
      </c>
      <c r="C51" s="16" t="s">
        <v>124</v>
      </c>
      <c r="D51" s="16" t="s">
        <v>125</v>
      </c>
      <c r="F51" s="25" t="s">
        <v>138</v>
      </c>
      <c r="G51" s="25" t="s">
        <v>129</v>
      </c>
    </row>
    <row r="52" spans="2:7" ht="16" x14ac:dyDescent="0.2">
      <c r="B52" s="16" t="s">
        <v>126</v>
      </c>
      <c r="C52" s="16" t="s">
        <v>127</v>
      </c>
      <c r="D52" s="16" t="s">
        <v>128</v>
      </c>
      <c r="F52" s="25" t="s">
        <v>2</v>
      </c>
      <c r="G52" s="33" t="str" cm="1">
        <f t="array" ref="G52:G53">TRANSPOSE(_xlfn.XLOOKUP(G51,Fournisseurs[Fournisseur],Fournisseurs[[Nom]:[Ville]]))</f>
        <v>Schneider Electric</v>
      </c>
    </row>
    <row r="53" spans="2:7" ht="16" x14ac:dyDescent="0.2">
      <c r="B53" s="16" t="s">
        <v>129</v>
      </c>
      <c r="C53" s="16" t="s">
        <v>130</v>
      </c>
      <c r="D53" s="16" t="s">
        <v>131</v>
      </c>
      <c r="F53" s="25" t="s">
        <v>3</v>
      </c>
      <c r="G53" s="25" t="str">
        <v>Rueil-Malmaison</v>
      </c>
    </row>
    <row r="54" spans="2:7" ht="16" x14ac:dyDescent="0.2">
      <c r="B54" s="16" t="s">
        <v>132</v>
      </c>
      <c r="C54" s="16" t="s">
        <v>133</v>
      </c>
      <c r="D54" s="16" t="s">
        <v>27</v>
      </c>
    </row>
    <row r="55" spans="2:7" ht="16" x14ac:dyDescent="0.2">
      <c r="B55" s="16" t="s">
        <v>134</v>
      </c>
      <c r="C55" s="16" t="s">
        <v>135</v>
      </c>
      <c r="D55" s="16" t="s">
        <v>24</v>
      </c>
    </row>
    <row r="56" spans="2:7" ht="16" x14ac:dyDescent="0.2">
      <c r="B56" s="16" t="s">
        <v>136</v>
      </c>
      <c r="C56" s="16" t="s">
        <v>137</v>
      </c>
      <c r="D56" s="16" t="s">
        <v>27</v>
      </c>
    </row>
  </sheetData>
  <mergeCells count="6">
    <mergeCell ref="F50:G50"/>
    <mergeCell ref="A1:H1"/>
    <mergeCell ref="B3:G3"/>
    <mergeCell ref="B28:G28"/>
    <mergeCell ref="B18:G18"/>
    <mergeCell ref="B44:G44"/>
  </mergeCells>
  <phoneticPr fontId="7" type="noConversion"/>
  <pageMargins left="0.75" right="0.75" top="1" bottom="1" header="0.5" footer="0.5"/>
  <tableParts count="5">
    <tablePart r:id="rId1"/>
    <tablePart r:id="rId2"/>
    <tablePart r:id="rId3"/>
    <tablePart r:id="rId4"/>
    <tablePart r:id="rId5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2C53F-A661-2C4C-8835-2D29735A4BF1}">
  <sheetPr>
    <tabColor theme="8" tint="0.79998168889431442"/>
  </sheetPr>
  <dimension ref="A1:O108"/>
  <sheetViews>
    <sheetView showGridLines="0" workbookViewId="0">
      <pane ySplit="5" topLeftCell="A6" activePane="bottomLeft" state="frozen"/>
      <selection pane="bottomLeft" activeCell="B32" sqref="B32"/>
    </sheetView>
  </sheetViews>
  <sheetFormatPr baseColWidth="10" defaultColWidth="8.83203125" defaultRowHeight="15" x14ac:dyDescent="0.2"/>
  <cols>
    <col min="1" max="1" width="2.83203125" style="15" customWidth="1"/>
    <col min="2" max="6" width="25.83203125" style="15" customWidth="1"/>
    <col min="7" max="7" width="2.83203125" style="49" customWidth="1"/>
    <col min="8" max="8" width="2.83203125" style="15" customWidth="1"/>
    <col min="9" max="15" width="20.83203125" style="15" customWidth="1"/>
    <col min="16" max="18" width="8.83203125" style="15"/>
    <col min="19" max="19" width="8.83203125" style="15" customWidth="1"/>
    <col min="20" max="16384" width="8.83203125" style="15"/>
  </cols>
  <sheetData>
    <row r="1" spans="1:9" ht="19" x14ac:dyDescent="0.2">
      <c r="A1" s="119" t="s">
        <v>92</v>
      </c>
      <c r="B1" s="119"/>
      <c r="C1" s="119"/>
      <c r="D1" s="119"/>
      <c r="E1" s="119"/>
      <c r="F1" s="119"/>
      <c r="G1" s="119"/>
    </row>
    <row r="3" spans="1:9" x14ac:dyDescent="0.2">
      <c r="A3" s="48"/>
      <c r="B3" s="120" t="s">
        <v>257</v>
      </c>
      <c r="C3" s="120"/>
      <c r="D3" s="120"/>
      <c r="E3" s="120"/>
      <c r="F3" s="120"/>
      <c r="G3" s="121"/>
    </row>
    <row r="5" spans="1:9" ht="16" x14ac:dyDescent="0.2">
      <c r="B5" s="14" t="s">
        <v>219</v>
      </c>
      <c r="C5" s="14" t="s">
        <v>143</v>
      </c>
      <c r="D5" s="14" t="s">
        <v>221</v>
      </c>
      <c r="E5" s="14" t="s">
        <v>220</v>
      </c>
      <c r="F5" s="14" t="s">
        <v>256</v>
      </c>
      <c r="I5" s="50"/>
    </row>
    <row r="6" spans="1:9" x14ac:dyDescent="0.2">
      <c r="B6" s="31" t="s">
        <v>39</v>
      </c>
      <c r="C6" s="17" t="s">
        <v>144</v>
      </c>
      <c r="D6" s="17" t="s">
        <v>223</v>
      </c>
      <c r="E6" s="17" t="s">
        <v>222</v>
      </c>
      <c r="F6" s="95">
        <v>32000</v>
      </c>
    </row>
    <row r="7" spans="1:9" x14ac:dyDescent="0.2">
      <c r="B7" s="31" t="s">
        <v>43</v>
      </c>
      <c r="C7" s="17" t="s">
        <v>145</v>
      </c>
      <c r="D7" s="17" t="s">
        <v>224</v>
      </c>
      <c r="E7" s="17" t="s">
        <v>58</v>
      </c>
      <c r="F7" s="95">
        <v>42000</v>
      </c>
    </row>
    <row r="8" spans="1:9" x14ac:dyDescent="0.2">
      <c r="B8" s="31" t="s">
        <v>46</v>
      </c>
      <c r="C8" s="17" t="s">
        <v>144</v>
      </c>
      <c r="D8" s="17" t="s">
        <v>226</v>
      </c>
      <c r="E8" s="17" t="s">
        <v>225</v>
      </c>
      <c r="F8" s="95">
        <v>30000</v>
      </c>
    </row>
    <row r="9" spans="1:9" x14ac:dyDescent="0.2">
      <c r="B9" s="31" t="s">
        <v>49</v>
      </c>
      <c r="C9" s="17" t="s">
        <v>145</v>
      </c>
      <c r="D9" s="17" t="s">
        <v>228</v>
      </c>
      <c r="E9" s="17" t="s">
        <v>227</v>
      </c>
      <c r="F9" s="95">
        <v>38000</v>
      </c>
    </row>
    <row r="10" spans="1:9" x14ac:dyDescent="0.2">
      <c r="B10" s="31" t="s">
        <v>52</v>
      </c>
      <c r="C10" s="17" t="s">
        <v>144</v>
      </c>
      <c r="D10" s="17" t="s">
        <v>230</v>
      </c>
      <c r="E10" s="17" t="s">
        <v>229</v>
      </c>
      <c r="F10" s="95">
        <v>33000</v>
      </c>
    </row>
    <row r="11" spans="1:9" x14ac:dyDescent="0.2">
      <c r="B11" s="31" t="s">
        <v>68</v>
      </c>
      <c r="C11" s="17" t="s">
        <v>145</v>
      </c>
      <c r="D11" s="17" t="s">
        <v>231</v>
      </c>
      <c r="E11" s="17" t="s">
        <v>222</v>
      </c>
      <c r="F11" s="95">
        <v>45000</v>
      </c>
    </row>
    <row r="12" spans="1:9" x14ac:dyDescent="0.2">
      <c r="B12" s="31" t="s">
        <v>69</v>
      </c>
      <c r="C12" s="17" t="s">
        <v>144</v>
      </c>
      <c r="D12" s="17" t="s">
        <v>232</v>
      </c>
      <c r="E12" s="17" t="s">
        <v>58</v>
      </c>
      <c r="F12" s="95">
        <v>47000</v>
      </c>
    </row>
    <row r="13" spans="1:9" x14ac:dyDescent="0.2">
      <c r="B13" s="31" t="s">
        <v>70</v>
      </c>
      <c r="C13" s="17" t="s">
        <v>145</v>
      </c>
      <c r="D13" s="17" t="s">
        <v>233</v>
      </c>
      <c r="E13" s="17" t="s">
        <v>225</v>
      </c>
      <c r="F13" s="95">
        <v>39000</v>
      </c>
    </row>
    <row r="14" spans="1:9" x14ac:dyDescent="0.2">
      <c r="B14" s="31" t="s">
        <v>234</v>
      </c>
      <c r="C14" s="17" t="s">
        <v>144</v>
      </c>
      <c r="D14" s="17" t="s">
        <v>235</v>
      </c>
      <c r="E14" s="17" t="s">
        <v>227</v>
      </c>
      <c r="F14" s="95">
        <v>44000</v>
      </c>
      <c r="I14" s="50"/>
    </row>
    <row r="15" spans="1:9" x14ac:dyDescent="0.2">
      <c r="B15" s="31" t="s">
        <v>236</v>
      </c>
      <c r="C15" s="17" t="s">
        <v>145</v>
      </c>
      <c r="D15" s="17" t="s">
        <v>237</v>
      </c>
      <c r="E15" s="17" t="s">
        <v>229</v>
      </c>
      <c r="F15" s="95">
        <v>31000</v>
      </c>
    </row>
    <row r="16" spans="1:9" x14ac:dyDescent="0.2">
      <c r="B16" s="31" t="s">
        <v>238</v>
      </c>
      <c r="C16" s="17" t="s">
        <v>144</v>
      </c>
      <c r="D16" s="17" t="s">
        <v>223</v>
      </c>
      <c r="E16" s="17" t="s">
        <v>222</v>
      </c>
      <c r="F16" s="95">
        <v>28000</v>
      </c>
    </row>
    <row r="17" spans="1:15" x14ac:dyDescent="0.2">
      <c r="B17" s="31" t="s">
        <v>239</v>
      </c>
      <c r="C17" s="17" t="s">
        <v>145</v>
      </c>
      <c r="D17" s="17" t="s">
        <v>240</v>
      </c>
      <c r="E17" s="17" t="s">
        <v>58</v>
      </c>
      <c r="F17" s="95">
        <v>48000</v>
      </c>
    </row>
    <row r="18" spans="1:15" x14ac:dyDescent="0.2">
      <c r="B18" s="31" t="s">
        <v>241</v>
      </c>
      <c r="C18" s="17" t="s">
        <v>144</v>
      </c>
      <c r="D18" s="17" t="s">
        <v>242</v>
      </c>
      <c r="E18" s="17" t="s">
        <v>225</v>
      </c>
      <c r="F18" s="95">
        <v>29000</v>
      </c>
    </row>
    <row r="19" spans="1:15" x14ac:dyDescent="0.2">
      <c r="B19" s="31" t="s">
        <v>243</v>
      </c>
      <c r="C19" s="17" t="s">
        <v>145</v>
      </c>
      <c r="D19" s="17" t="s">
        <v>244</v>
      </c>
      <c r="E19" s="17" t="s">
        <v>227</v>
      </c>
      <c r="F19" s="95">
        <v>36000</v>
      </c>
    </row>
    <row r="20" spans="1:15" x14ac:dyDescent="0.2">
      <c r="B20" s="31" t="s">
        <v>245</v>
      </c>
      <c r="C20" s="17" t="s">
        <v>144</v>
      </c>
      <c r="D20" s="17" t="s">
        <v>246</v>
      </c>
      <c r="E20" s="17" t="s">
        <v>229</v>
      </c>
      <c r="F20" s="95">
        <v>52000</v>
      </c>
      <c r="I20" s="50"/>
    </row>
    <row r="21" spans="1:15" x14ac:dyDescent="0.2">
      <c r="B21" s="31" t="s">
        <v>247</v>
      </c>
      <c r="C21" s="17" t="s">
        <v>145</v>
      </c>
      <c r="D21" s="17" t="s">
        <v>248</v>
      </c>
      <c r="E21" s="17" t="s">
        <v>222</v>
      </c>
      <c r="F21" s="95">
        <v>41000</v>
      </c>
    </row>
    <row r="22" spans="1:15" x14ac:dyDescent="0.2">
      <c r="B22" s="31" t="s">
        <v>249</v>
      </c>
      <c r="C22" s="17" t="s">
        <v>144</v>
      </c>
      <c r="D22" s="17" t="s">
        <v>250</v>
      </c>
      <c r="E22" s="17" t="s">
        <v>58</v>
      </c>
      <c r="F22" s="95">
        <v>40000</v>
      </c>
    </row>
    <row r="23" spans="1:15" x14ac:dyDescent="0.2">
      <c r="B23" s="31" t="s">
        <v>251</v>
      </c>
      <c r="C23" s="17" t="s">
        <v>145</v>
      </c>
      <c r="D23" s="17" t="s">
        <v>252</v>
      </c>
      <c r="E23" s="17" t="s">
        <v>225</v>
      </c>
      <c r="F23" s="95">
        <v>30000</v>
      </c>
    </row>
    <row r="24" spans="1:15" x14ac:dyDescent="0.2">
      <c r="B24" s="31" t="s">
        <v>253</v>
      </c>
      <c r="C24" s="17" t="s">
        <v>144</v>
      </c>
      <c r="D24" s="17" t="s">
        <v>228</v>
      </c>
      <c r="E24" s="17" t="s">
        <v>227</v>
      </c>
      <c r="F24" s="95">
        <v>37000</v>
      </c>
    </row>
    <row r="25" spans="1:15" x14ac:dyDescent="0.2">
      <c r="B25" s="31" t="s">
        <v>254</v>
      </c>
      <c r="C25" s="17" t="s">
        <v>145</v>
      </c>
      <c r="D25" s="17" t="s">
        <v>255</v>
      </c>
      <c r="E25" s="17" t="s">
        <v>229</v>
      </c>
      <c r="F25" s="95">
        <v>32000</v>
      </c>
    </row>
    <row r="28" spans="1:15" x14ac:dyDescent="0.2">
      <c r="A28" s="48"/>
      <c r="B28" s="117" t="s">
        <v>260</v>
      </c>
      <c r="C28" s="117"/>
      <c r="D28" s="117"/>
      <c r="E28" s="117"/>
      <c r="F28" s="117"/>
      <c r="G28" s="118"/>
    </row>
    <row r="29" spans="1:15" x14ac:dyDescent="0.2">
      <c r="B29" s="116" t="s">
        <v>218</v>
      </c>
      <c r="C29" s="116"/>
      <c r="D29" s="116"/>
      <c r="E29" s="116"/>
      <c r="F29" s="116"/>
    </row>
    <row r="30" spans="1:15" x14ac:dyDescent="0.2">
      <c r="B30" s="123" t="s">
        <v>262</v>
      </c>
      <c r="C30" s="123"/>
      <c r="D30" s="123"/>
      <c r="E30" s="123"/>
      <c r="F30" s="123"/>
    </row>
    <row r="31" spans="1:15" ht="16" x14ac:dyDescent="0.2">
      <c r="I31" s="51" t="s">
        <v>95</v>
      </c>
    </row>
    <row r="32" spans="1:15" ht="16" x14ac:dyDescent="0.2">
      <c r="B32" s="53"/>
      <c r="I32" s="54" t="str" cm="1">
        <f t="array" ref="I32:J38">_xlfn.GROUPBY(Salariés[[#All],[Département]],Salariés[[#All],[Salaire annuel]],_xleta.SUM,3)</f>
        <v>Département</v>
      </c>
      <c r="J32" s="52" t="str">
        <v>Salaire annuel</v>
      </c>
      <c r="K32" s="52"/>
      <c r="L32" s="52"/>
      <c r="M32" s="52"/>
      <c r="N32" s="52"/>
      <c r="O32" s="52"/>
    </row>
    <row r="33" spans="1:15" ht="16" x14ac:dyDescent="0.2">
      <c r="I33" s="52" t="str">
        <v>Commercial</v>
      </c>
      <c r="J33" s="52">
        <v>146000</v>
      </c>
      <c r="K33" s="52"/>
      <c r="L33" s="52"/>
      <c r="M33" s="52"/>
      <c r="N33" s="52"/>
      <c r="O33" s="52"/>
    </row>
    <row r="34" spans="1:15" ht="16" x14ac:dyDescent="0.2">
      <c r="I34" s="52" t="str">
        <v>Finance</v>
      </c>
      <c r="J34" s="52">
        <v>155000</v>
      </c>
      <c r="K34" s="52"/>
      <c r="L34" s="52"/>
      <c r="M34" s="52"/>
      <c r="N34" s="52"/>
      <c r="O34" s="52"/>
    </row>
    <row r="35" spans="1:15" ht="16" x14ac:dyDescent="0.2">
      <c r="I35" s="52" t="str">
        <v>Informatique</v>
      </c>
      <c r="J35" s="52">
        <v>177000</v>
      </c>
      <c r="K35" s="52"/>
      <c r="L35" s="52"/>
      <c r="M35" s="52"/>
      <c r="N35" s="52"/>
      <c r="O35" s="52"/>
    </row>
    <row r="36" spans="1:15" ht="16" x14ac:dyDescent="0.2">
      <c r="I36" s="52" t="str">
        <v>Marketing</v>
      </c>
      <c r="J36" s="52">
        <v>128000</v>
      </c>
      <c r="K36" s="52"/>
      <c r="L36" s="52"/>
      <c r="M36" s="52"/>
      <c r="N36" s="52"/>
      <c r="O36" s="52"/>
    </row>
    <row r="37" spans="1:15" ht="16" x14ac:dyDescent="0.2">
      <c r="I37" s="52" t="str">
        <v>RH</v>
      </c>
      <c r="J37" s="52">
        <v>148000</v>
      </c>
      <c r="K37" s="52"/>
      <c r="L37" s="52"/>
      <c r="M37" s="52"/>
      <c r="N37" s="52"/>
      <c r="O37" s="52"/>
    </row>
    <row r="38" spans="1:15" ht="16" x14ac:dyDescent="0.2">
      <c r="I38" s="52" t="str">
        <v>Total</v>
      </c>
      <c r="J38" s="52">
        <v>754000</v>
      </c>
      <c r="K38" s="52"/>
      <c r="L38" s="52"/>
      <c r="M38" s="52"/>
      <c r="N38" s="52"/>
      <c r="O38" s="52"/>
    </row>
    <row r="39" spans="1:15" x14ac:dyDescent="0.2">
      <c r="I39" s="52"/>
      <c r="J39" s="52"/>
      <c r="K39" s="52"/>
      <c r="L39" s="52"/>
      <c r="M39" s="52"/>
      <c r="N39" s="52"/>
      <c r="O39" s="52"/>
    </row>
    <row r="41" spans="1:15" x14ac:dyDescent="0.2">
      <c r="A41" s="48"/>
      <c r="B41" s="117" t="s">
        <v>258</v>
      </c>
      <c r="C41" s="117"/>
      <c r="D41" s="117"/>
      <c r="E41" s="117"/>
      <c r="F41" s="117"/>
      <c r="G41" s="118"/>
    </row>
    <row r="42" spans="1:15" x14ac:dyDescent="0.2">
      <c r="B42" s="116" t="s">
        <v>259</v>
      </c>
      <c r="C42" s="116"/>
      <c r="D42" s="116"/>
      <c r="E42" s="116"/>
      <c r="F42" s="116"/>
    </row>
    <row r="43" spans="1:15" ht="16" x14ac:dyDescent="0.2">
      <c r="I43" s="51" t="s">
        <v>95</v>
      </c>
    </row>
    <row r="44" spans="1:15" ht="16" x14ac:dyDescent="0.2">
      <c r="B44" s="53"/>
      <c r="I44" s="54" t="str" cm="1">
        <f t="array" ref="I44:K54">_xlfn.GROUPBY(_xlfn.HSTACK(Salariés[Sexe],Salariés[Département]),Salariés[Salaire annuel],_xleta.SUM)</f>
        <v>Femme</v>
      </c>
      <c r="J44" s="52" t="str">
        <v>Commercial</v>
      </c>
      <c r="K44" s="52">
        <v>60000</v>
      </c>
      <c r="L44" s="52"/>
      <c r="M44" s="52"/>
      <c r="N44" s="52"/>
      <c r="O44" s="52"/>
    </row>
    <row r="45" spans="1:15" ht="16" x14ac:dyDescent="0.2">
      <c r="I45" s="52" t="str">
        <v>Femme</v>
      </c>
      <c r="J45" s="52" t="str">
        <v>Finance</v>
      </c>
      <c r="K45" s="52">
        <v>81000</v>
      </c>
      <c r="L45" s="52"/>
      <c r="M45" s="52"/>
      <c r="N45" s="52"/>
      <c r="O45" s="52"/>
    </row>
    <row r="46" spans="1:15" ht="16" x14ac:dyDescent="0.2">
      <c r="I46" s="52" t="str">
        <v>Femme</v>
      </c>
      <c r="J46" s="52" t="str">
        <v>Informatique</v>
      </c>
      <c r="K46" s="52">
        <v>87000</v>
      </c>
      <c r="L46" s="52"/>
      <c r="M46" s="52"/>
      <c r="N46" s="52"/>
      <c r="O46" s="52"/>
    </row>
    <row r="47" spans="1:15" ht="16" x14ac:dyDescent="0.2">
      <c r="I47" s="52" t="str">
        <v>Femme</v>
      </c>
      <c r="J47" s="52" t="str">
        <v>Marketing</v>
      </c>
      <c r="K47" s="52">
        <v>59000</v>
      </c>
      <c r="L47" s="52"/>
      <c r="M47" s="52"/>
      <c r="N47" s="52"/>
      <c r="O47" s="52"/>
    </row>
    <row r="48" spans="1:15" ht="16" x14ac:dyDescent="0.2">
      <c r="I48" s="52" t="str">
        <v>Femme</v>
      </c>
      <c r="J48" s="52" t="str">
        <v>RH</v>
      </c>
      <c r="K48" s="52">
        <v>85000</v>
      </c>
      <c r="L48" s="52"/>
      <c r="M48" s="52"/>
      <c r="N48" s="52"/>
      <c r="O48" s="52"/>
    </row>
    <row r="49" spans="1:15" ht="16" x14ac:dyDescent="0.2">
      <c r="I49" s="52" t="str">
        <v>Homme</v>
      </c>
      <c r="J49" s="52" t="str">
        <v>Commercial</v>
      </c>
      <c r="K49" s="52">
        <v>86000</v>
      </c>
      <c r="L49" s="52"/>
      <c r="M49" s="52"/>
      <c r="N49" s="52"/>
      <c r="O49" s="52"/>
    </row>
    <row r="50" spans="1:15" ht="16" x14ac:dyDescent="0.2">
      <c r="I50" s="52" t="str">
        <v>Homme</v>
      </c>
      <c r="J50" s="52" t="str">
        <v>Finance</v>
      </c>
      <c r="K50" s="52">
        <v>74000</v>
      </c>
      <c r="L50" s="52"/>
      <c r="M50" s="52"/>
      <c r="N50" s="52"/>
      <c r="O50" s="52"/>
    </row>
    <row r="51" spans="1:15" ht="16" x14ac:dyDescent="0.2">
      <c r="I51" s="52" t="str">
        <v>Homme</v>
      </c>
      <c r="J51" s="52" t="str">
        <v>Informatique</v>
      </c>
      <c r="K51" s="52">
        <v>90000</v>
      </c>
      <c r="L51" s="52"/>
      <c r="M51" s="52"/>
      <c r="N51" s="52"/>
      <c r="O51" s="52"/>
    </row>
    <row r="52" spans="1:15" ht="16" x14ac:dyDescent="0.2">
      <c r="I52" s="52" t="str">
        <v>Homme</v>
      </c>
      <c r="J52" s="52" t="str">
        <v>Marketing</v>
      </c>
      <c r="K52" s="52">
        <v>69000</v>
      </c>
      <c r="L52" s="52"/>
      <c r="M52" s="52"/>
      <c r="N52" s="52"/>
      <c r="O52" s="52"/>
    </row>
    <row r="53" spans="1:15" ht="16" x14ac:dyDescent="0.2">
      <c r="I53" s="52" t="str">
        <v>Homme</v>
      </c>
      <c r="J53" s="52" t="str">
        <v>RH</v>
      </c>
      <c r="K53" s="52">
        <v>63000</v>
      </c>
      <c r="L53" s="52"/>
      <c r="M53" s="52"/>
      <c r="N53" s="52"/>
      <c r="O53" s="52"/>
    </row>
    <row r="54" spans="1:15" ht="16" x14ac:dyDescent="0.2">
      <c r="I54" s="52" t="str">
        <v>Total</v>
      </c>
      <c r="J54" s="52" t="str">
        <v/>
      </c>
      <c r="K54" s="52">
        <v>754000</v>
      </c>
      <c r="L54" s="52"/>
      <c r="M54" s="52"/>
      <c r="N54" s="52"/>
      <c r="O54" s="52"/>
    </row>
    <row r="55" spans="1:15" x14ac:dyDescent="0.2">
      <c r="J55" s="52"/>
      <c r="K55" s="52"/>
      <c r="L55" s="52"/>
      <c r="M55" s="52"/>
      <c r="N55" s="52"/>
      <c r="O55" s="52"/>
    </row>
    <row r="56" spans="1:15" x14ac:dyDescent="0.2">
      <c r="J56" s="52"/>
      <c r="K56" s="52"/>
      <c r="L56" s="52"/>
      <c r="M56" s="52"/>
      <c r="N56" s="52"/>
      <c r="O56" s="52"/>
    </row>
    <row r="57" spans="1:15" x14ac:dyDescent="0.2">
      <c r="A57" s="48"/>
      <c r="B57" s="117" t="s">
        <v>263</v>
      </c>
      <c r="C57" s="117"/>
      <c r="D57" s="117"/>
      <c r="E57" s="117"/>
      <c r="F57" s="117"/>
      <c r="G57" s="118"/>
    </row>
    <row r="58" spans="1:15" ht="15" customHeight="1" x14ac:dyDescent="0.2">
      <c r="B58" s="116" t="s">
        <v>261</v>
      </c>
      <c r="C58" s="116"/>
      <c r="D58" s="116"/>
      <c r="E58" s="116"/>
      <c r="F58" s="116"/>
    </row>
    <row r="59" spans="1:15" ht="15" customHeight="1" x14ac:dyDescent="0.2">
      <c r="I59" s="51" t="s">
        <v>95</v>
      </c>
    </row>
    <row r="60" spans="1:15" ht="16" x14ac:dyDescent="0.2">
      <c r="B60" s="53"/>
      <c r="I60" s="54" t="str" cm="1">
        <f t="array" ref="I60:L66">_xlfn.PIVOTBY(Salariés[Département],Salariés[Sexe],Salariés[Salaire annuel],_xleta.SUM)</f>
        <v/>
      </c>
      <c r="J60" s="52" t="str">
        <v>Femme</v>
      </c>
      <c r="K60" s="52" t="str">
        <v>Homme</v>
      </c>
      <c r="L60" s="52" t="str">
        <v>Total</v>
      </c>
    </row>
    <row r="61" spans="1:15" ht="16" x14ac:dyDescent="0.2">
      <c r="I61" s="52" t="str">
        <v>Commercial</v>
      </c>
      <c r="J61" s="52">
        <v>60000</v>
      </c>
      <c r="K61" s="52">
        <v>86000</v>
      </c>
      <c r="L61" s="52">
        <v>146000</v>
      </c>
    </row>
    <row r="62" spans="1:15" ht="16" x14ac:dyDescent="0.2">
      <c r="I62" s="52" t="str">
        <v>Finance</v>
      </c>
      <c r="J62" s="52">
        <v>81000</v>
      </c>
      <c r="K62" s="52">
        <v>74000</v>
      </c>
      <c r="L62" s="52">
        <v>155000</v>
      </c>
    </row>
    <row r="63" spans="1:15" ht="16" x14ac:dyDescent="0.2">
      <c r="I63" s="52" t="str">
        <v>Informatique</v>
      </c>
      <c r="J63" s="52">
        <v>87000</v>
      </c>
      <c r="K63" s="52">
        <v>90000</v>
      </c>
      <c r="L63" s="52">
        <v>177000</v>
      </c>
    </row>
    <row r="64" spans="1:15" ht="16" x14ac:dyDescent="0.2">
      <c r="I64" s="52" t="str">
        <v>Marketing</v>
      </c>
      <c r="J64" s="52">
        <v>59000</v>
      </c>
      <c r="K64" s="52">
        <v>69000</v>
      </c>
      <c r="L64" s="52">
        <v>128000</v>
      </c>
    </row>
    <row r="65" spans="9:15" ht="16" x14ac:dyDescent="0.2">
      <c r="I65" s="52" t="str">
        <v>RH</v>
      </c>
      <c r="J65" s="52">
        <v>85000</v>
      </c>
      <c r="K65" s="52">
        <v>63000</v>
      </c>
      <c r="L65" s="52">
        <v>148000</v>
      </c>
    </row>
    <row r="66" spans="9:15" ht="16" x14ac:dyDescent="0.2">
      <c r="I66" s="52" t="str">
        <v>Total</v>
      </c>
      <c r="J66" s="52">
        <v>372000</v>
      </c>
      <c r="K66" s="52">
        <v>382000</v>
      </c>
      <c r="L66" s="52">
        <v>754000</v>
      </c>
    </row>
    <row r="68" spans="9:15" x14ac:dyDescent="0.2">
      <c r="I68" s="52"/>
      <c r="J68" s="52"/>
      <c r="K68" s="52"/>
      <c r="L68" s="52"/>
      <c r="M68" s="52"/>
      <c r="N68" s="52"/>
      <c r="O68" s="52"/>
    </row>
    <row r="69" spans="9:15" x14ac:dyDescent="0.2">
      <c r="I69" s="52"/>
      <c r="J69" s="52"/>
      <c r="K69" s="52"/>
      <c r="L69" s="52"/>
      <c r="M69" s="52"/>
      <c r="N69" s="52"/>
      <c r="O69" s="52"/>
    </row>
    <row r="70" spans="9:15" x14ac:dyDescent="0.2">
      <c r="I70" s="52"/>
      <c r="J70" s="52"/>
      <c r="K70" s="52"/>
      <c r="L70" s="52"/>
      <c r="M70" s="52"/>
      <c r="N70" s="52"/>
      <c r="O70" s="52"/>
    </row>
    <row r="71" spans="9:15" x14ac:dyDescent="0.2">
      <c r="I71" s="52"/>
      <c r="J71" s="52"/>
      <c r="K71" s="52"/>
      <c r="L71" s="52"/>
      <c r="M71" s="52"/>
      <c r="N71" s="52"/>
      <c r="O71" s="52"/>
    </row>
    <row r="72" spans="9:15" x14ac:dyDescent="0.2">
      <c r="I72" s="52"/>
      <c r="J72" s="52"/>
      <c r="K72" s="52"/>
      <c r="L72" s="52"/>
      <c r="M72" s="52"/>
      <c r="N72" s="52"/>
      <c r="O72" s="52"/>
    </row>
    <row r="73" spans="9:15" x14ac:dyDescent="0.2">
      <c r="I73" s="52"/>
      <c r="J73" s="52"/>
      <c r="K73" s="52"/>
      <c r="L73" s="52"/>
      <c r="M73" s="52"/>
      <c r="N73" s="52"/>
      <c r="O73" s="52"/>
    </row>
    <row r="74" spans="9:15" x14ac:dyDescent="0.2">
      <c r="I74" s="52"/>
      <c r="J74" s="52"/>
      <c r="K74" s="52"/>
      <c r="L74" s="52"/>
      <c r="M74" s="52"/>
      <c r="N74" s="52"/>
      <c r="O74" s="52"/>
    </row>
    <row r="75" spans="9:15" x14ac:dyDescent="0.2">
      <c r="I75" s="52"/>
      <c r="J75" s="52"/>
      <c r="K75" s="52"/>
      <c r="L75" s="52"/>
      <c r="M75" s="52"/>
      <c r="N75" s="52"/>
      <c r="O75" s="52"/>
    </row>
    <row r="76" spans="9:15" x14ac:dyDescent="0.2">
      <c r="I76" s="52"/>
      <c r="J76" s="52"/>
      <c r="K76" s="52"/>
      <c r="L76" s="52"/>
      <c r="M76" s="52"/>
      <c r="N76" s="52"/>
      <c r="O76" s="52"/>
    </row>
    <row r="77" spans="9:15" x14ac:dyDescent="0.2">
      <c r="I77" s="52"/>
      <c r="J77" s="52"/>
      <c r="K77" s="52"/>
      <c r="L77" s="52"/>
      <c r="M77" s="52"/>
      <c r="N77" s="52"/>
      <c r="O77" s="52"/>
    </row>
    <row r="78" spans="9:15" x14ac:dyDescent="0.2">
      <c r="I78" s="52"/>
      <c r="J78" s="52"/>
      <c r="K78" s="52"/>
      <c r="L78" s="52"/>
      <c r="M78" s="52"/>
      <c r="N78" s="52"/>
      <c r="O78" s="52"/>
    </row>
    <row r="79" spans="9:15" x14ac:dyDescent="0.2">
      <c r="I79" s="52"/>
      <c r="J79" s="52"/>
      <c r="K79" s="52"/>
      <c r="L79" s="52"/>
      <c r="M79" s="52"/>
      <c r="N79" s="52"/>
      <c r="O79" s="52"/>
    </row>
    <row r="80" spans="9:15" x14ac:dyDescent="0.2">
      <c r="I80" s="52"/>
      <c r="J80" s="52"/>
      <c r="K80" s="52"/>
      <c r="L80" s="52"/>
      <c r="M80" s="52"/>
      <c r="N80" s="52"/>
      <c r="O80" s="52"/>
    </row>
    <row r="81" spans="9:15" x14ac:dyDescent="0.2">
      <c r="I81" s="52"/>
      <c r="J81" s="52"/>
      <c r="K81" s="52"/>
      <c r="L81" s="52"/>
      <c r="M81" s="52"/>
      <c r="N81" s="52"/>
      <c r="O81" s="52"/>
    </row>
    <row r="82" spans="9:15" x14ac:dyDescent="0.2">
      <c r="I82" s="52"/>
      <c r="J82" s="52"/>
      <c r="K82" s="52"/>
      <c r="L82" s="52"/>
      <c r="M82" s="52"/>
      <c r="N82" s="52"/>
      <c r="O82" s="52"/>
    </row>
    <row r="83" spans="9:15" x14ac:dyDescent="0.2">
      <c r="I83" s="52"/>
      <c r="J83" s="52"/>
      <c r="K83" s="52"/>
      <c r="L83" s="52"/>
      <c r="M83" s="52"/>
      <c r="N83" s="52"/>
      <c r="O83" s="52"/>
    </row>
    <row r="84" spans="9:15" x14ac:dyDescent="0.2">
      <c r="I84" s="52"/>
      <c r="J84" s="52"/>
      <c r="K84" s="52"/>
      <c r="L84" s="52"/>
      <c r="M84" s="52"/>
      <c r="N84" s="52"/>
      <c r="O84" s="52"/>
    </row>
    <row r="85" spans="9:15" x14ac:dyDescent="0.2">
      <c r="I85" s="52"/>
      <c r="J85" s="52"/>
      <c r="K85" s="52"/>
      <c r="L85" s="52"/>
      <c r="M85" s="52"/>
      <c r="N85" s="52"/>
      <c r="O85" s="52"/>
    </row>
    <row r="87" spans="9:15" x14ac:dyDescent="0.2">
      <c r="I87" s="52"/>
      <c r="J87" s="52"/>
      <c r="K87" s="52"/>
      <c r="L87" s="52"/>
      <c r="M87" s="52"/>
      <c r="N87" s="52"/>
      <c r="O87" s="52"/>
    </row>
    <row r="88" spans="9:15" x14ac:dyDescent="0.2">
      <c r="I88" s="52"/>
      <c r="J88" s="52"/>
      <c r="K88" s="52"/>
      <c r="L88" s="52"/>
      <c r="M88" s="52"/>
      <c r="N88" s="52"/>
      <c r="O88" s="52"/>
    </row>
    <row r="89" spans="9:15" x14ac:dyDescent="0.2">
      <c r="I89" s="52"/>
      <c r="J89" s="52"/>
      <c r="K89" s="52"/>
      <c r="L89" s="52"/>
      <c r="M89" s="52"/>
      <c r="N89" s="52"/>
      <c r="O89" s="52"/>
    </row>
    <row r="90" spans="9:15" x14ac:dyDescent="0.2">
      <c r="I90" s="52"/>
      <c r="J90" s="52"/>
      <c r="K90" s="52"/>
      <c r="L90" s="52"/>
      <c r="M90" s="52"/>
      <c r="N90" s="52"/>
      <c r="O90" s="52"/>
    </row>
    <row r="91" spans="9:15" x14ac:dyDescent="0.2">
      <c r="I91" s="52"/>
      <c r="J91" s="52"/>
      <c r="K91" s="52"/>
      <c r="L91" s="52"/>
      <c r="M91" s="52"/>
      <c r="N91" s="52"/>
      <c r="O91" s="52"/>
    </row>
    <row r="92" spans="9:15" x14ac:dyDescent="0.2">
      <c r="I92" s="52"/>
      <c r="J92" s="52"/>
      <c r="K92" s="52"/>
      <c r="L92" s="52"/>
      <c r="M92" s="52"/>
      <c r="N92" s="52"/>
      <c r="O92" s="52"/>
    </row>
    <row r="93" spans="9:15" x14ac:dyDescent="0.2">
      <c r="I93" s="52"/>
      <c r="J93" s="52"/>
      <c r="K93" s="52"/>
      <c r="L93" s="52"/>
      <c r="M93" s="52"/>
      <c r="N93" s="52"/>
      <c r="O93" s="52"/>
    </row>
    <row r="94" spans="9:15" x14ac:dyDescent="0.2">
      <c r="I94" s="52"/>
      <c r="J94" s="52"/>
      <c r="K94" s="52"/>
      <c r="L94" s="52"/>
      <c r="M94" s="52"/>
      <c r="N94" s="52"/>
      <c r="O94" s="52"/>
    </row>
    <row r="95" spans="9:15" x14ac:dyDescent="0.2">
      <c r="I95" s="52"/>
      <c r="J95" s="52"/>
      <c r="K95" s="52"/>
      <c r="L95" s="52"/>
      <c r="M95" s="52"/>
      <c r="N95" s="52"/>
      <c r="O95" s="52"/>
    </row>
    <row r="96" spans="9:15" x14ac:dyDescent="0.2">
      <c r="I96" s="52"/>
      <c r="J96" s="52"/>
      <c r="K96" s="52"/>
      <c r="L96" s="52"/>
      <c r="M96" s="52"/>
      <c r="N96" s="52"/>
      <c r="O96" s="52"/>
    </row>
    <row r="97" spans="9:15" x14ac:dyDescent="0.2">
      <c r="I97" s="52"/>
      <c r="J97" s="52"/>
      <c r="K97" s="52"/>
      <c r="L97" s="52"/>
      <c r="M97" s="52"/>
      <c r="N97" s="52"/>
      <c r="O97" s="52"/>
    </row>
    <row r="98" spans="9:15" x14ac:dyDescent="0.2">
      <c r="I98" s="52"/>
      <c r="J98" s="52"/>
      <c r="K98" s="52"/>
      <c r="L98" s="52"/>
      <c r="M98" s="52"/>
      <c r="N98" s="52"/>
      <c r="O98" s="52"/>
    </row>
    <row r="99" spans="9:15" x14ac:dyDescent="0.2">
      <c r="I99" s="52"/>
      <c r="J99" s="52"/>
      <c r="K99" s="52"/>
      <c r="L99" s="52"/>
      <c r="M99" s="52"/>
      <c r="N99" s="52"/>
      <c r="O99" s="52"/>
    </row>
    <row r="100" spans="9:15" x14ac:dyDescent="0.2">
      <c r="I100" s="52"/>
      <c r="J100" s="52"/>
      <c r="K100" s="52"/>
      <c r="L100" s="52"/>
      <c r="M100" s="52"/>
      <c r="N100" s="52"/>
      <c r="O100" s="52"/>
    </row>
    <row r="101" spans="9:15" x14ac:dyDescent="0.2">
      <c r="I101" s="52"/>
      <c r="J101" s="52"/>
      <c r="K101" s="52"/>
      <c r="L101" s="52"/>
      <c r="M101" s="52"/>
      <c r="N101" s="52"/>
      <c r="O101" s="52"/>
    </row>
    <row r="102" spans="9:15" x14ac:dyDescent="0.2">
      <c r="I102" s="52"/>
      <c r="J102" s="52"/>
      <c r="K102" s="52"/>
      <c r="L102" s="52"/>
      <c r="M102" s="52"/>
      <c r="N102" s="52"/>
      <c r="O102" s="52"/>
    </row>
    <row r="103" spans="9:15" x14ac:dyDescent="0.2">
      <c r="I103" s="52"/>
      <c r="J103" s="52"/>
      <c r="K103" s="52"/>
      <c r="L103" s="52"/>
      <c r="M103" s="52"/>
      <c r="N103" s="52"/>
      <c r="O103" s="52"/>
    </row>
    <row r="104" spans="9:15" x14ac:dyDescent="0.2">
      <c r="I104" s="52"/>
      <c r="J104" s="52"/>
      <c r="K104" s="52"/>
      <c r="L104" s="52"/>
      <c r="M104" s="52"/>
      <c r="N104" s="52"/>
      <c r="O104" s="52"/>
    </row>
    <row r="105" spans="9:15" x14ac:dyDescent="0.2">
      <c r="I105" s="52"/>
      <c r="J105" s="52"/>
      <c r="K105" s="52"/>
      <c r="L105" s="52"/>
      <c r="M105" s="52"/>
      <c r="N105" s="52"/>
      <c r="O105" s="52"/>
    </row>
    <row r="106" spans="9:15" x14ac:dyDescent="0.2">
      <c r="I106" s="52"/>
      <c r="J106" s="52"/>
      <c r="K106" s="52"/>
      <c r="L106" s="52"/>
      <c r="M106" s="52"/>
      <c r="N106" s="52"/>
      <c r="O106" s="52"/>
    </row>
    <row r="107" spans="9:15" x14ac:dyDescent="0.2">
      <c r="I107" s="52"/>
      <c r="J107" s="52"/>
      <c r="K107" s="52"/>
      <c r="L107" s="52"/>
      <c r="M107" s="52"/>
      <c r="N107" s="52"/>
      <c r="O107" s="52"/>
    </row>
    <row r="108" spans="9:15" x14ac:dyDescent="0.2">
      <c r="I108" s="52"/>
      <c r="J108" s="52"/>
      <c r="K108" s="52"/>
      <c r="L108" s="52"/>
      <c r="M108" s="52"/>
      <c r="N108" s="52"/>
      <c r="O108" s="52"/>
    </row>
  </sheetData>
  <mergeCells count="9">
    <mergeCell ref="B58:F58"/>
    <mergeCell ref="B42:F42"/>
    <mergeCell ref="A1:G1"/>
    <mergeCell ref="B3:G3"/>
    <mergeCell ref="B28:G28"/>
    <mergeCell ref="B29:F29"/>
    <mergeCell ref="B41:G41"/>
    <mergeCell ref="B57:G57"/>
    <mergeCell ref="B30:F30"/>
  </mergeCells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Objectifs</vt:lpstr>
      <vt:lpstr>DANSCOL-LIGNE, ORGA.COLS-LIGNES</vt:lpstr>
      <vt:lpstr>CHOISIRCOLS, CHOISIRLIGNES</vt:lpstr>
      <vt:lpstr>ASSEMB.V, ASSEMB.H</vt:lpstr>
      <vt:lpstr>FILTRE, UNIQUE, TRIER</vt:lpstr>
      <vt:lpstr>Extraire ou combiner du texte</vt:lpstr>
      <vt:lpstr>RECHERCHEX</vt:lpstr>
      <vt:lpstr>GROUPER.PAR, PIVOTER.PAR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Nicolas PARENT</cp:lastModifiedBy>
  <dcterms:created xsi:type="dcterms:W3CDTF">2026-08-25T14:18:36Z</dcterms:created>
  <dcterms:modified xsi:type="dcterms:W3CDTF">2026-09-03T10:49:10Z</dcterms:modified>
</cp:coreProperties>
</file>